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425"/>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Export Option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<sst xmlns="http://schemas.openxmlformats.org/spreadsheetml/2006/main" count="778" uniqueCount="412">
  <si>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</si>
  <si>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</si>
  <si>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</si>
  <si>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</si>
  <si>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</si>
  <si>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</si>
  <si>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</si>
  <si>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</si>
  <si>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</si>
  <si>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</si>
  <si>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</si>
  <si>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</si>
  <si>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</si>
  <si>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</si>
  <si>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</si>
  <si>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</si>
  <si>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</si>
  <si>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</si>
  <si>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</si>
  <si>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</si>
  <si>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</si>
  <si>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</si>
  <si>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</si>
  <si>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</si>
  <si>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</si>
  <si>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</si>
  <si>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Layout Order</t>
  </si>
  <si>
    <t>Polar R</t>
  </si>
  <si>
    <t>Polar Angle</t>
  </si>
  <si>
    <t>Graph Directedness</t>
  </si>
  <si>
    <t>Undirected</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</si>
  <si>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</si>
  <si>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</si>
  <si>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</si>
  <si>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</si>
  <si>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</si>
  <si>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</si>
  <si>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</si>
  <si>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</si>
  <si>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</si>
  <si>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</si>
  <si>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</si>
  <si>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</si>
  <si>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</si>
  <si>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</si>
  <si>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</si>
  <si>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</si>
  <si>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</si>
  <si>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</si>
  <si>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</si>
  <si>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</si>
  <si>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</si>
  <si>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</si>
  <si>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</si>
  <si>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</si>
  <si>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</si>
  <si>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</si>
  <si>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</si>
  <si>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</si>
  <si>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</si>
  <si>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</si>
  <si>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</si>
  <si>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</si>
  <si>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</si>
  <si>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</si>
  <si>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</si>
  <si>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</si>
  <si>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</si>
  <si>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</si>
  <si>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</si>
  <si>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</si>
  <si>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</si>
  <si>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</si>
  <si>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</si>
  <si>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</si>
  <si>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</si>
  <si>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</si>
  <si>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</si>
  <si>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</si>
  <si>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</si>
  <si>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</si>
  <si>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</si>
  <si>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</si>
  <si>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</si>
  <si>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</si>
  <si>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</si>
  <si>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</si>
  <si>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</si>
  <si>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</si>
  <si>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</si>
  <si>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</si>
  <si>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</si>
  <si>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</si>
  <si>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</si>
  <si>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</si>
  <si>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</si>
  <si>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</si>
  <si>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</si>
  <si>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</si>
  <si>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</si>
  <si>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</si>
  <si>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</si>
  <si>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</si>
  <si>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</si>
  <si>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</si>
  <si>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</si>
  <si>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</si>
  <si>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</si>
  <si>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</si>
  <si>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</si>
  <si>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</si>
  <si>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</si>
  <si>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</si>
  <si>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</si>
  <si>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</si>
  <si>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</si>
  <si>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</si>
  <si>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</si>
  <si>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</si>
  <si>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</si>
  <si>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</si>
  <si>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</si>
  <si>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</si>
  <si>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</si>
  <si>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</si>
  <si>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</si>
  <si>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</si>
  <si>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</si>
  <si>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</si>
  <si>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</si>
  <si>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</si>
  <si>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</si>
  <si>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</si>
  <si>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</si>
  <si>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</si>
  <si>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</si>
  <si>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</si>
  <si>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</si>
  <si>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</si>
  <si>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</si>
  <si>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</si>
  <si>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</si>
  <si>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</si>
  <si>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</si>
  <si>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</si>
  <si>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</si>
  <si>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</si>
  <si>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</si>
  <si>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</si>
  <si>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</si>
  <si>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</si>
  <si>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</si>
  <si>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</si>
  <si>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</si>
  <si>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</si>
  <si>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</si>
  <si>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</si>
  <si>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</si>
  <si>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</si>
  <si>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</si>
  <si>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</si>
  <si>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</si>
  <si>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</si>
  <si>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</si>
  <si>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</si>
  <si>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</si>
  <si>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</si>
  <si>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</si>
  <si>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</si>
  <si>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</si>
  <si>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</si>
  <si>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</si>
  <si>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</si>
  <si>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</si>
  <si>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</si>
  <si>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</si>
  <si>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</si>
  <si>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</si>
  <si>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</si>
  <si>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</si>
  <si>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</si>
  <si>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</si>
  <si>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</si>
  <si>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</si>
  <si>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</si>
  <si>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</si>
  <si>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</si>
  <si>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</si>
  <si>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</si>
  <si>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</si>
  <si>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</si>
  <si>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</si>
  <si>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</si>
  <si>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</si>
  <si>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Workbook Settings 23</t>
  </si>
  <si>
    <t>Workbook Settings 24</t>
  </si>
  <si>
    <t>Workbook Settings 25</t>
  </si>
  <si>
    <t>Workbook Settings 26</t>
  </si>
  <si>
    <t>Workbook Settings 27</t>
  </si>
  <si>
    <t>Workbook Settings 28</t>
  </si>
  <si>
    <t>Workbook Settings 29</t>
  </si>
  <si>
    <t>Workbook Settings 30</t>
  </si>
  <si>
    <t>Workbook Settings 31</t>
  </si>
  <si>
    <t>Workbook Settings 32</t>
  </si>
  <si>
    <t>Workbook Settings 33</t>
  </si>
  <si>
    <t>Workbook Settings 34</t>
  </si>
  <si>
    <t>Workbook Settings 35</t>
  </si>
  <si>
    <t>Workbook Settings 36</t>
  </si>
  <si>
    <t>Workbook Settings 37</t>
  </si>
  <si>
    <t>Workbook Settings 38</t>
  </si>
  <si>
    <t>Workbook Settings 39</t>
  </si>
  <si>
    <t>Workbook Settings 40</t>
  </si>
  <si>
    <t>Workbook Settings 41</t>
  </si>
  <si>
    <t>Workbook Settings 42</t>
  </si>
  <si>
    <t>Workbook Settings 43</t>
  </si>
  <si>
    <t>Workbook Settings 44</t>
  </si>
  <si>
    <t>Workbook Settings 45</t>
  </si>
  <si>
    <t>Workbook Settings 46</t>
  </si>
  <si>
    <t>Workbook Settings 47</t>
  </si>
  <si>
    <t>Workbook Settings 48</t>
  </si>
  <si>
    <t>Workbook Settings 49</t>
  </si>
  <si>
    <t>Workbook Settings 50</t>
  </si>
  <si>
    <t>Workbook Settings 51</t>
  </si>
  <si>
    <t>Workbook Settings 52</t>
  </si>
  <si>
    <t>Workbook Settings 53</t>
  </si>
  <si>
    <t>Workbook Settings 54</t>
  </si>
  <si>
    <t>Workbook Settings 55</t>
  </si>
  <si>
    <t>Workbook Settings 56</t>
  </si>
  <si>
    <t>Workbook Settings 57</t>
  </si>
  <si>
    <t>Workbook Settings 58</t>
  </si>
  <si>
    <t>Workbook Settings 59</t>
  </si>
  <si>
    <t>Workbook Settings 60</t>
  </si>
  <si>
    <t>Workbook Settings 61</t>
  </si>
  <si>
    <t>Workbook Settings 62</t>
  </si>
  <si>
    <t>Workbook Settings 63</t>
  </si>
  <si>
    <t>Workbook Settings 64</t>
  </si>
  <si>
    <t>Workbook Settings 65</t>
  </si>
  <si>
    <t>Workbook Settings 66</t>
  </si>
  <si>
    <t>Workbook Settings 67</t>
  </si>
  <si>
    <t>Workbook Settings 68</t>
  </si>
  <si>
    <t>Workbook Settings 69</t>
  </si>
  <si>
    <t>Workbook Settings 70</t>
  </si>
  <si>
    <t>Workbook Settings 71</t>
  </si>
  <si>
    <t>Workbook Settings 72</t>
  </si>
  <si>
    <t>Workbook Settings 73</t>
  </si>
  <si>
    <t>Workbook Settings 74</t>
  </si>
  <si>
    <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</si>
  <si>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</si>
  <si>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</si>
  <si>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Alice</t>
  </si>
  <si>
    <t>Bob</t>
  </si>
  <si>
    <t>Cara</t>
  </si>
  <si>
    <t>David</t>
  </si>
  <si>
    <t>Ella</t>
  </si>
  <si>
    <t>Finn</t>
  </si>
  <si>
    <t>Grace</t>
  </si>
  <si>
    <t>Henry</t>
  </si>
  <si>
    <t>Isla</t>
  </si>
  <si>
    <t>Jack</t>
  </si>
  <si>
    <t>Kara</t>
  </si>
  <si>
    <t>Leo</t>
  </si>
  <si>
    <t>Mia</t>
  </si>
  <si>
    <t>Noah</t>
  </si>
  <si>
    <t>Olivia</t>
  </si>
  <si>
    <t>Peter</t>
  </si>
  <si>
    <t>Quinn</t>
  </si>
  <si>
    <t>Ruby</t>
  </si>
  <si>
    <t>Sophie</t>
  </si>
  <si>
    <t>Tom</t>
  </si>
  <si>
    <t>Uma</t>
  </si>
  <si>
    <t>Victor</t>
  </si>
  <si>
    <t>Wendy</t>
  </si>
  <si>
    <t>Xavier</t>
  </si>
  <si>
    <t>Yara</t>
  </si>
  <si>
    <t>Zack</t>
  </si>
  <si>
    <t>April</t>
  </si>
  <si>
    <t>Billy</t>
  </si>
  <si>
    <t>Cody</t>
  </si>
  <si>
    <t>Daisy</t>
  </si>
  <si>
    <t>Gender</t>
  </si>
  <si>
    <t>Female</t>
  </si>
  <si>
    <t>Male</t>
  </si>
  <si>
    <t>Betweenness Centrality2</t>
  </si>
  <si>
    <t>Edge Weight</t>
  </si>
  <si>
    <t xml:space="preserve"> Freisprüche Freisprüchen Freispruches Freispruchs freist freiste freistem freisten freister freistes freiwillig freiwillige freiwilligem freiwilligen freiwilliger freiwilligere freiwilligerem freiwilligeren freiwilligerer freiwilligeres freiwilliges freiwilligst freiwilligste freiwilligstem freiwilligsten freiwilligster freiwilligstes freu Freude Freuden freudig freudige freudigem freudigen freudiger freudigere freudigerem freudigeren freudigerer freudigeres freudiges freudigst freudigste freudigstem freudigsten freudigster freudigstes freue freuen freuest freuet Freund Freunde Freunden Freundes freundlich freundliche freundlichem freundlichen freundlicher freundlichere freundlicherem freundlicheren freundlicherer freundlicheres freundliches Freundlichkeit Freundlichkeiten freundlichst freundlichste freundlichstem freundlichsten freundlichster freundlichstes Freunds Freundschaft Freundschaften freundschaftlich freundschaftliche freundschaftlichem freundschaftlichen freundschaftlicher freundschaftlichere freundschaftlicherem freundschaftlicheren freundschaftlicherer freundschaftlicheres freundschaftliches freundschaftlichst freundschaftlichste freundschaftlichstem freundschaftlichsten freundschaftlichster freundschaftlichstes freust freut freute freuten freutest freutet Frieden Friedens friedlich friedliche friedlichem friedlichen friedlicher friedlichere friedlicherem friedlicheren friedlicherer friedlicheres friedliches friedlichst friedlichste friedlichstem friedlichsten friedlichster friedlichstes friedvoll froh frohe frohem frohen froher frohere froherem froheren froherer froheres frohes fröhlich fröhliche fröhlichem fröhlichen fröhlicher fröhlichere fröhlicherem fröhlicheren fröhlicherer fröhlicheres fröhliches fröhlichst fröhlichste fröhlichstem fröhlichsten fröhlichster fröhlichstes frohlock frohlocke frohlocken frohlockest frohlocket frohlockst frohlockt frohlockte frohlockten frohlocktest frohlocktet frohst frohste frohstem frohsten frohster frohstes fruchtbar fruchtbare fruchtbarem fruchtbaren fruchtbarer fruchtbarere fruchtbarerem fruchtbareren fruchtbarerer fruchtbareres fruchtbares Fruchtbarkeit fruchtbarst fruchtbarste fruchtbarstem fruchtbarsten fruchtbarster fruchtbarstes führ führe führen führend führende führendem führenden führender führendere führenderem führenderen führenderer führenderes führendes führendst führendste führendstem führendsten führendster führendstes führest führet führst führt führte führten führtest führtet Führung Führungen füll Fülle fülle füllen Füllen füllest füllet füllst füllt füllte füllten fülltest fülltet fulminant fulminante fulminantem fulminanten fulminanter fulminantere fulminanterem fulminanteren fulminanterer fulminanteres fulminantes fulminantest fulminanteste fulminantestem fulminantesten fulminantester fulminantestes funkel funkele funkelen funkeln funkelst funkelt funkelte funkelten funkeltest funkeltet funkl funkle funktionier funktioniere funktionieren funktionierend funktionierest funktionieret funktionierst funktioniert funktionierte funktionierten funktioniertest funktioniertet funktionsfähig funktionsfähige funktionsfähigem funktionsfähigen funktionsfähiger funktionsfähigere funktionsfähigerem funktionsfähigeren funktionsfähigerer funktionsfähigeres funktionsfähiges Funktionsfähigkeit funktionsfähigst funktionsfähigste funktionsfähigstem funktionsfähigsten funktionsfähigster funktionsfähigstes furchtlos furchtlose furchtlosem furchtlosen furchtloser furchtlosere furchtloserem furchtloseren furchtloserer furchtloseres furchtloses furchtlosest furchtloseste furchtlosestem furchtlosesten furchtlosester furchtlosestes Furchtlosigkeit Gabe Gaben galant galante galantem galanten galanter galantere galanterem galanteren galanterer galanteres galantes galantest galanteste galantestem galantesten galantester galantestes Garantie Garantien garantiert garantierte garantiertem garantierten garantierter garantiertere garantierterem garantierteren garantierterer garantierteres garantiertes garantiertst garantiertste garantiertstem garantiertsten garantiertster garantiertstes gastfreundlich gastfreundliche gastfreundlichem gastfreundlichen gastfreundlicher gastfreundlichere gastfreundlicherem gastfreundlicheren gastfreundlicherer gastfreundlicheres gastfreundliches Gastfreundlichkeit Gastfreundlichkeiten gastfreundlichst gastfreundlichste gastfreundlichstem gastfreundlichsten gastfreundlichster gastfreundlichstes gebessert geblüht gedankt gedeihen gedeihlich gedeihliche gedeihlichem gedeihlichen gedeihlicher gedeihlichere gedeihlicherem gedeihlicheren gedeihlicherer gedeihlicheres gedeihliches gedeihlichst gedeihlichste gedeihlichstem gedeihlichsten gedeihlichster gedeihlichstes Gedenken Gedenkens gediegen gediegene gediegenem gediegenen gediegener gediegenere gediegenerem gediegeneren gediegenerer gediegeneres gediegenes gediegenst gediegenste gediegenstem gediegensten gediegenster gediegenstes gediegner gediegnere gediegnerem gediegneren gediegnerer gediegneres geduftet Geduld geduldig geduldige geduldigem geduldigen geduldiger geduldigere geduldigerem geduldigeren geduldigerer geduldigeres geduldiges geduldigst geduldigste geduldigstem geduldigsten geduldigster geduldigstes geehrt geeifert geeignet geeignet geeignete geeignetem geeigneten geeigneter geeignetere geeigneterem geeigneteren geeigneterer geeigneteres geeignetes geeignetst geeignetste geeignetstem geeignetsten geeignetster geeignetstes geerbt Gefallen gefallen Gefallens gefeiert gefeiert gefeierte gefeiertem gefeierten gefeierter gefeiertere gefeierterem gefeierteren gefeierterer gefeierteres gefeiertes gefeiertest gefeierteste gefeiertestem gefeiertesten gefeiertester gefeiertestes gefertigt gefesselt gefestigt gefestigte gefestigtem gefestigten gefestigter gefestigtere gefestigterem gefestigteren gefestigterer gefestigteres gefestigtes gefestigtst gefestigtste gefestigtstem gefestigtsten gefestigtster gefestigtstes gefördert gefragt gefragte gefragtem gefragten gefragter g</t>
  </si>
  <si>
    <t>efragtere gefragterem gefragteren gefragterer gefragteres gefragtes gefragtest gefragteste gefragtestem gefragtesten gefragtester gefragtestes gefreut gefrohlockt geführt gefüllt gefunkelt geglänzt geglückt gegönnt Gehaltszulage Gehaltszulagen geheiratet gehofft gehörig gehörige gehörigem gehörigen gehöriger gehörigere gehörigerem gehörigeren gehörigerer gehörigeres gehöriges gehörigst gehörigste gehörigstem gehörigsten gehörigster gehörigstes gehorsam gehorsame gehorsamem gehorsamen gehorsamer gehorsamere gehorsamerem gehorsameren gehorsamerer gehorsameres gehorsames gehorsamst gehorsamste gehorsamstem gehorsamsten gehorsamster gehorsamstes geil geile geilem geilen geiler geilere geilerem geileren geilerer geileres geiles geilst geilste geilstem geilsten geilster geilstes gejubelt geklärt geklettert gekümmert gelächelt gelacht gelassen gelassene gelassenem gelassenen gelassener gelassenere gelassenerem gelasseneren gelassenerer gelasseneres gelassenes Gelassenheit gelassenst gelassenste gelassenstem gelassensten gelassenster gelassenstes gelassner gelassnere gelassnerem gelassneren gelassnerer gelassneres Geldgeber Geldgebern Geldgebers gelernt geliebt geliebte geliebtem geliebten geliebter geliebtere geliebterem geliebteren geliebterer geliebteres geliebtes geliebtest geliebteste geliebtestem geliebtesten geliebtester geliebtestes gelindert gelobt gelohnt gelohnt gelöst gelungen gelungene gelungenem gelungenen gelungener gelungenere gelungenerem gelungeneren gelungenerer gelungeneres gelungenes gelungenst gelungenste gelungenstem gelungensten gelungenster gelungenstes gelungner gelungnere gelungnerem gelungneren gelungnerer gelungneres gemeinsam gemeinsame gemeinsamem gemeinsamen gemeinsamer gemeinsamere gemeinsamerem gemeinsameren gemeinsamerer gemeinsameres gemeinsames gemeinsamst gemeinsamste gemeinsamstem gemeinsamsten gemeinsamster gemeinsamstes Gemeinschaft Gemeinschaften gemeinschaftlich gemeinschaftliche gemeinschaftlichem gemeinschaftlichen gemeinschaftlicher gemeinschaftlichere gemeinschaftlicherem gemeinschaftlicheren gemeinschaftlicherer gemeinschaftlicheres gemeinschaftliches gemeinschaftlichst gemeinschaftlichste gemeinschaftlichstem gemeinschaftlichsten gemeinschaftlichster gemeinschaftlichstes gemütlich gemütliche gemütlichem gemütlichen gemütlicher gemütlichere gemütlicherem gemütlicheren gemütlicherer gemütlicheres gemütliches gemütlichst gemütlichste gemütlichstem gemütlichsten gemütlichster gemütlichstes genährt genau genaue genauem genauen genauer genauere genauerem genaueren genauerer genaueres genaues genauest genaueste genauestem genauesten genauester genauestes Genauigkeit genaust genauste genaustem genausten genauster genaustes genehm genehme genehmem genehmen genehmer genehmere genehmerem genehmeren genehmerer genehmeres genehmes genehmig genehmige genehmigen genehmigest genehmiget genehmigst genehmigt genehmigte genehmigten genehmigtest genehmigtet Genehmigung Genehmigungen genehmst genehmste genehmstem genehmsten genehmster genehmstes genesen Genesung Genesungen genial geniale genialem genialen genialer genialere genialerem genialeren genialerer genialeres geniales Genialität genialst genialste genialstem genialsten genialster genialstes Genie Genies genießbar genießbare genießbarem genießbaren genießbarer genießbarere genießbarerem genießbareren genießbarerer genießbareres genießbares genießbarst genießbarste genießbarstem genießbarsten genießbarster genießbarstes genießen genügend Genuss Genuß Genüße Genüsse Genüssen Genüßen Genußes Genusses Genusss Genußs genützt geordnet gepflegt gepflegt gepflegte gepflegtem gepflegten gepflegter gepflegtere gepflegterem gepflegteren gepflegterer gepflegteres gepflegtes gepflegtest gepflegteste gepflegtestem gepflegtesten gepflegtester gepflegtestes geräumig geräumige geräumigem geräumigen geräumiger geräumigere geräumigerem geräumigeren geräumigerer geräumigeres geräumiges Geräumigkeit geräumigst geräumigste geräumigstem geräumigsten geräumigster geräumigstes gerecht gerechte gerechtem gerechten gerechter gerechtere gerechterem gerechteren gerechterer gerechteres gerechtes gerechtest gerechteste gerechtestem gerechtesten gerechtester gerechtestes gerechtfertigt gerechtfertigt gerechtfertigte gerechtfertigtem gerechtfertigten gerechtfertigter gerechtfertigtere gerechtfertigterem gerechtfertigteren gerechtfertigterer gerechtfertigteres gerechtfertigtes gerechtfertigtst gerechtfertigtste gerechtfertigtstem gerechtfertigtsten gerechtfertigtster gerechtfertigtstes Gerechtigkeit gereift gereinigt gerettet gerührt gerührte gerührtem gerührten gerührter gerührtere gerührterem gerührteren gerührterer gerührteres gerührtes gerührtest gerührteste gerührtestem gerührtesten gerührtester gerührtestes geruhsam geruhsame geruhsamem geruhsamen geruhsamer geruhsamere geruhsamerem geruhsameren geruhsamerer geruhsameres geruhsames geruhsamst geruhsamste geruhsamstem geruhsamsten geruhsamster geruhsamstes geschafft geschäftig geschäftige geschäftigem geschäftigen geschäftiger geschäftigere geschäftigerem geschäftigeren geschäftigerer geschäftigeres geschäftiges geschäftigst geschäftigste geschäftigstem geschäftigsten geschäftigster geschäftigstes geschätzt geschätzt geschätzte geschätztem geschätzten geschätzter geschätztere geschätzterem geschätzteren geschätzterer geschätzteres geschätztes geschätztest geschätzteste geschätztestem geschätztesten geschätztester geschätztestes Geschenk Geschenke Geschenken Geschenkes Geschenks geschenkt Geschick Geschicke Geschicken Geschickes Geschicklichkeit Geschicks geschickt geschickte geschicktem geschickten geschickter geschicktere geschickterem geschickteren geschickterer geschickteres geschicktes geschicktest geschickteste geschicktestem geschicktesten geschicktester geschicktestes geschillert geschmackvoll geschmackvolle geschmackvollem geschmackvollen geschmackvoller geschmackvollere geschmackvollerem geschmackvolleren geschmackvollerer geschmackvolleres geschmackvolles geschmackvollst geschmac</t>
  </si>
  <si>
    <t>kvollste geschmackvollstem geschmackvollsten geschmackvollster geschmackvollstes geschmückt gesichert gesorgt gespart gespendet gestärkt gestaunt gesteigert gesteigert gestiegen gestiftet gestrahlt gesund gesunde gesundem gesunden gesunder gesünder gesundere gesündere gesunderem gesünderem gesunderen gesünderen gesunderer gesünderer gesunderes gesünderes gesundes gesundest gesündest gesundeste gesündeste gesundestem gesündestem gesundesten gesündesten gesundester gesündester gesundestes gesündestes Gesundheit Gesundung getoppt getreu getreue getreuem getreuen getreuer getreuere getreuerem getreueren getreuerer getreueres getreues getreuest getreueste getreuestem getreuesten getreuester getreuestes getreust getreuste getreustem getreusten getreuster getreustes getröstet gewachsen gewachst gewagt gewährleisten Gewährleistung Gewährleistungen gewahrt gewaltfrei gewaltfreie gewaltfreiem gewaltfreien gewaltfreier gewaltfreiere gewaltfreierem gewaltfreieren gewaltfreierer gewaltfreieres gewaltfreies gewaltfreist gewaltfreiste gewaltfreistem gewaltfreisten gewaltfreister gewaltfreistes gewaltig gewaltige gewaltigem gewaltigen gewaltiger gewaltigere gewaltigerem gewaltigeren gewaltigerer gewaltigeres gewaltiges gewaltigst gewaltigste gewaltigstem gewaltigsten gewaltigster gewaltigstes gewärmt gewichtig gewichtige gewichtigem gewichtigen gewichtiger gewichtigere gewichtigerem gewichtigeren gewichtigerer gewichtigeres gewichtiges gewichtigst gewichtigste gewichtigstem gewichtigsten gewichtigster gewichtigstes Gewinn gewinnbringend gewinnbringende gewinnbringendem gewinnbringenden gewinnbringender gewinnbringendere gewinnbringenderem gewinnbringenderen gewinnbringenderer gewinnbringenderes gewinnbringendes gewinnbringendst gewinnbringendste gewinnbringendstem gewinnbringendsten gewinnbringendster gewinnbringendstes Gewinne gewinnen Gewinnen Gewinner Gewinnern Gewinners Gewinnes Gewinns gewissenhaft gewissenhafte gewissenhaftem gewissenhaften gewissenhafter gewissenhaftere gewissenhafterem gewissenhafteren gewissenhafterer gewissenhafteres gewissenhaftes gewissenhaftest gewissenhafteste gewissenhaftestem gewissenhaftesten gewissenhaftester gewissenhaftestes gewünscht gewünschte gewünschtem gewünschten gewünschter gewünschtere gewünschterem gewünschteren gewünschterer gewünschteres gewünschtes gewünschtest gewünschteste gewünschtestem gewünschtesten gewünschtester gewünschtestes gewürdigt gezielt gezielte gezieltem gezielten gezielter gezieltere gezielterem gezielteren gezielterer gezielteres gezieltes gezieltst gezieltste gezieltstem gezieltsten gezieltster gezieltstes gigantisch gigantische gigantischem gigantischen gigantischer gigantischere gigantischerem gigantischeren gigantischerer gigantischeres gigantisches gigantischst gigantischste gigantischstem gigantischsten gigantischster gigantischstes Glamour glamourös glamouröse glamourösem glamourösen glamouröser glamourösere glamouröserem glamouröseren glamouröserer glamouröseres glamouröses glamourösest glamouröseste glamourösestem glamourösesten glamourösester glamourösestes Glamours Glanz glänz glänze glänzen glänzend glänzende glänzendem glänzenden glänzender glänzendere glänzenderem glänzenderen glänzenderer glänzenderes glänzendes glänzendst glänzendste glänzendstem glänzendsten glänzendster glänzendstes Glanzes glänzest glänzet Glanzs glänzt glänzte glänzten glänztest glänztet glanzvoll glanzvolle glanzvollem glanzvollen glanzvoller glanzvollere glanzvollerem glanzvolleren glanzvollerer glanzvolleres glanzvolles glanzvollst glanzvollste glanzvollstem glanzvollsten glanzvollster glanzvollstes glasklar glasklare glasklarem glasklaren glasklarer glasklarere glasklarerem glasklareren glasklarerer glasklareres glasklares glasklarst glasklarste glasklarstem glasklarsten glasklarster glasklarstes glatt glatte glattem glatten glatter glattere glatterem glatteren glatterer glatteres glattes glattest glatteste glattestem glattesten glattester glattestes Glaube Glaubes glaubwürdig glaubwürdige glaubwürdigem glaubwürdigen glaubwürdiger glaubwürdigere glaubwürdigerem glaubwürdigeren glaubwürdigerer glaubwürdigeres glaubwürdiges Glaubwürdigkeit Glaubwürdigkeiten glaubwürdigst glaubwürdigste glaubwürdigstem glaubwürdigsten glaubwürdigster glaubwürdigstes gleichgestellt gleichstell gleichstelle gleichstellen gleichstellest gleichstellet gleichstellst gleichstellt gleichstellte gleichstellten gleichstelltest gleichstelltet Gleichstellung gleichwertig gleichwertige gleichwertigem gleichwertigen gleichwertiger gleichwertigere gleichwertigerem gleichwertigeren gleichwertigerer gleichwertigeres gleichwertiges gleichwertigst gleichwertigste gleichwertigstem gleichwertigsten gleichwertigster gleichwertigstes glorios gloriose gloriosem gloriosen glorioser gloriosere glorioserem glorioseren glorioserer glorioseres glorioses gloriosest glorioseste gloriosestem gloriosesten gloriosester gloriosestes glorreich glorreiche glorreichem glorreichen glorreicher glorreichere glorreicherem glorreicheren glorreicherer glorreicheres glorreiches glorreichst glorreichste glorreichstem glorreichsten glorreichster glorreichstes Glück Glücke Glücken Glückes glücklich glückliche glücklichem glücklichen glücklicher glücklichere glücklicherem glücklicheren glücklicherer glücklicheres glückliches glücklichst glücklichste glücklichstem glücklichsten glücklichster glücklichstes Glücks Glückseligkeit Glückseligkeiten Glückwunsch Glückwünsche Glückwünschen Glückwunsches Glückwunschs glühend Gnade Gnaden gnädig gnädige gnädigem gnädigen gnädiger gnädigere gnädigerem gnädigeren gnädigerer gnädigeres gnädiges gnädigst gnädigste gnädigstem gnädigsten gnädigster gnädigstes golden goldene goldenem goldenen goldener goldenere goldenerem goldeneren goldenerer goldeneres goldenes goldenst goldenste goldenstem goldensten goldenster goldenstes goldig goldige goldigem goldigen goldiger goldigere goldigerem goldigeren goldigerer goldigeres goldiges goldigst goldigste goldigstem goldigsten goldigster go</t>
  </si>
  <si>
    <t>ldigstes goldner goldnere goldnerem goldneren goldnerer goldneres gönn gönne gönnen Gönner Gönnern Gönners Gönnerschaft gönnest gönnet gönnst gönnt gönnte gönnten gönntest gönntet göttlich göttliche göttlichem göttlichen göttlicher göttlichere göttlicherem göttlicheren göttlicherer göttlicheres göttliches göttlichst göttlichste göttlichstem göttlichsten göttlichster göttlichstes grandios grandiose grandiosem grandiosen grandioser grandiosere grandioserem grandioseren grandioserer grandioseres grandioses grandiosest grandioseste grandiosestem grandiosesten grandiosester grandiosestes Gratulation Gratulationen gratulieren gravierend gravierende gravierendem gravierenden gravierender gravierendere gravierenderem gravierenderen gravierenderer gravierenderes gravierendes gravierendst gravierendste gravierendstem gravierendsten gravierendster gravierendstes greifbar greifbare greifbarem greifbaren greifbarer greifbarere greifbarerem greifbareren greifbarerer greifbareres greifbares greifbarst greifbarste greifbarstem greifbarsten greifbarster greifbarstes grenzenlos grenzenlose grenzenlosem grenzenlosen grenzenloser grenzenlosere grenzenloserem grenzenloseren grenzenloserer grenzenloseres grenzenloses grenzenlosest grenzenloseste grenzenlosestem grenzenlosesten grenzenlosester grenzenlosestes Grenzenlosigkeit groß großartig großartige großartigem großartigen großartiger großartigere großartigerem großartigeren großartigerer großartigeres großartiges großartigst großartigste großartigstem großartigsten großartigster großartigstes große Größe großem großen Größen großer großere großerem großeren großerer großeres großes großspurig großspurige großspurigem großspurigen großspuriger großspurigere großspurigerem großspurigeren großspurigerer großspurigeres großspuriges großspurigst großspurigste großspurigstem großspurigsten großspurigster großspurigstes großst großste großstem großsten großster großstes größtmöglich größtmögliche größtmöglichem größtmöglichen größtmöglicher größtmöglichere größtmöglicherem größtmöglicheren größtmöglicherer größtmöglicheres größtmögliches größtmöglichst größtmöglichste größtmöglichstem größtmöglichsten größtmöglichster größtmöglichstes großzügig großzügige großzügigem großzügigen großzügiger großzügigere großzügigerem großzügigeren großzügigerer großzügigeres großzügiges Großzügigigkeit großzügigst großzügigste großzügigstem großzügigsten großzügigster großzügigstes grundlegend grundlegende grundlegendem grundlegenden grundlegender grundlegendere grundlegenderem grundlegenderen grundlegenderer grundlegenderes grundlegendes grundlegendst grundlegendste grundlegendstem grundlegendsten grundlegendster grundlegendstes gründlich gründliche gründlichem gründlichen gründlicher gründlichere gründlicherem gründlicheren gründlicherer gründlicheres gründliches Gründlichkeit gründlichst gründlichste gründlichstem gründlichsten gründlichster gründlichstes grundsätzlich grundsätzliche grundsätzlichem grundsätzlichen grundsätzlicher grundsätzlichere grundsätzlicherem grundsätzlicheren grundsätzlicherer grundsätzlicheres grundsätzliches grundsätzlichst grundsätzlichste grundsätzlichstem grundsätzlichsten grundsätzlichster grundsätzlichstes gültig gültige gültigem gültigen gültiger gültigere gültigerem gültigeren gültigerer gültigeres gültiges Gültigkeit gültigst gültigste gültigstem gültigsten gültigster gültigstes Gunst günstig günstige günstigem günstigen günstiger günstigere günstigerem günstigeren günstigerer günstigeres günstiges günstigst günstigste günstigstem günstigsten günstigster günstigstes gut gute Güte gutem guten guter gutere guterem guteren guterer guteres gutes gutgehend gutgehende gutgehendem gutgehenden gutgehender gutgehendere gutgehenderem gutgehenderen gutgehenderer gutgehenderes gutgehendes gutgehendst gutgehendste gutgehendstem gutgehendsten gutgehendster gutgehendstes gütig gütige gütigem gütigen gütiger gütigere gütigerem gütigeren gütigerer gütigeres gütiges gütigst gütigste gütigstem gütigsten gütigster gütigstes gütlich gütliche gütlichem gütlichen gütlicher gütlichere gütlicherem gütlicheren gütlicherer gütlicheres gütliches gütlichst gütlichste gütlichstem gütlichsten gütlichster gütlichstes gutst gutste gutstem gutsten gutster gutstes Hammer Hammern Hammers handfest handfeste handfestem handfesten handfester handfestere handfesterem handfesteren handfesterer handfesteres handfestes handfestest handfesteste handfestestem handfestesten handfestester handfestestes handlich handliche handlichem handlichen handlicher handlichere handlicherem handlicheren handlicherer handlicheres handliches handlichst handlichste handlichstem handlichsten handlichster handlichstes Harmonie Harmonien harmonisch harmonische harmonischem harmonischen harmonischer harmonischere harmonischerem harmonischeren harmonischerer harmonischeres harmonisches harmonischst harmonischste harmonischstem harmonischsten harmonischster harmonischstes harmonisier harmonisiere harmonisieren harmonisierest harmonisieret harmonisierst harmonisiert harmonisierte harmonisierten harmonisiertest harmonisiertet Harmonisierung Harmonisierungen hartnäckig hartnäckige hartnäckigem hartnäckigen hartnäckiger hartnäckigere hartnäckigerem hartnäckigeren hartnäckigerer hartnäckigeres hartnäckiges Hartnäckigkeit hartnäckigst hartnäckigste hartnäckigstem hartnäckigsten hartnäckigster hartnäckigstes hauptsächlich hauptsächliche hauptsächlichem hauptsächlichen hauptsächlicher hauptsächlichere hauptsächlicherem hauptsächlicheren hauptsächlicherer hauptsächlicheres hauptsächliches hauptsächlichst hauptsächlichste hauptsächlichstem hauptsächlichsten hauptsächlichster hauptsächlichstes heben heil heile heilem heilen heilen heiler heilere heilerem heileren heilerer heileres heiles heilig heilige heiligem heiligen heiliger heiligere heiligerem heiligeren heiligerer heiligeres heiliges heiligst heiligste heiligstem heiligsten heiligster heiligstes Heiligtum Heiligtümer Heiligtümern Heiligtumes Heiligtums heilsam heils</t>
  </si>
  <si>
    <t>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hoffnungsfrohes hoffnungsfrohst hoffnungsfrohste hoffnungsfrohstem</t>
  </si>
  <si>
    <t xml:space="preserve">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 Kaufes Kaufs kinderleicht kinderleichte kinderleichtem kinderlei</t>
  </si>
  <si>
    <t>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konstruktivsten konstruktivster konstruktivstes Konsultation Konsultationen kon</t>
  </si>
  <si>
    <t>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legendärer legendärere legendärerem legendäreren legendärerer legendärere</t>
  </si>
  <si>
    <t>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makellosen makelloser makellosere makelloserem makelloseren makel</t>
  </si>
  <si>
    <t>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namhafterer namhafteres namhaftes namhaftest namhafteste namhaftestem n</t>
  </si>
  <si>
    <t>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prallsten prallster prallstes präzis präzise Präzision preisgünstig prei</t>
  </si>
  <si>
    <t>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reiferem reiferen reiferer reiferes reifes reifest reifet reifst reifst</t>
  </si>
  <si>
    <t xml:space="preserve">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saubreres schaff schaffe schaffen schaffest schaffet schaffst schafft sch</t>
  </si>
  <si>
    <t>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solideres solides solidst solidste solidstem solidsten solidster solids</t>
  </si>
  <si>
    <t>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 störungsfreiste störungsfreistem störungsfreisten störungsfreist</t>
  </si>
  <si>
    <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überdurchschnittlicherer überdurchschnittlicheres überdurchschnittliche</t>
  </si>
  <si>
    <t>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unbeschwerte unbeschwertem unbeschwerten unbeschwerter unbeschwertere unbe</t>
  </si>
  <si>
    <t>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unschlagbaren unschlagbarer unschlagbarere unschlagbarerem unschlagbare</t>
  </si>
  <si>
    <t>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verantwortungsbewußtere verantwortungsbewußterem verantwortungsbewußteren ver</t>
  </si>
  <si>
    <t>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verstehen verteidig verteidige verteidigen Verteidiger Verteidiger</t>
  </si>
  <si>
    <t>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wachsamst wachsamste wachsamstem wachsamsten wachsamster wachsa</t>
  </si>
  <si>
    <t>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witzigste witzigstem witzigsten witzigster witzigstes wohlbehalten wo</t>
  </si>
  <si>
    <t>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zugänglichsten zugänglichster zugänglichstes zugeben zugelegt zugreifen zukun</t>
  </si>
  <si>
    <t>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abstoßendstes Abstoßes Abstoßs Abstrich Abstriche Abstrichen Abstrich</t>
  </si>
  <si>
    <t>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apokalyptische apokalyptischem apokalyptischen apokalyptischer apo</t>
  </si>
  <si>
    <t>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bedauernswertere bedauernswerterem bedauernswerteren bedauernswerterer b</t>
  </si>
  <si>
    <t>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beschädigten beschädigtest beschädigtet Beschädigung Beschädigungen beschäft</t>
  </si>
  <si>
    <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blödeste blödeste blödestem blödestem blödesten blödesten blödester</t>
  </si>
  <si>
    <t xml:space="preserve">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diffuser diffusere diffuserem diffuseren diffuserer diffuseres diffus</t>
  </si>
  <si>
    <t>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einschrumpfen einschrumpfest einschrumpfet einschrumpfst einschrump</t>
  </si>
  <si>
    <t>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Erniedrigungen ernüchternd Ernüchterung Ernüchterungen Erosion Erosione</t>
  </si>
  <si>
    <t>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flauester flauestes flaust flauste flaustem flausten flauster fla</t>
  </si>
  <si>
    <t>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gedrängtstes gedriftet gedroht gedrosselt gefährd gefährde gefährden gefäh</t>
  </si>
  <si>
    <t>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grauenhaftes grauenhaftest grauenhafteste grauenhaftestem grauenhaftes</t>
  </si>
  <si>
    <t>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heruntermachest heruntermachet heruntermachst heruntermacht herunterm</t>
  </si>
  <si>
    <t>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irrationalen irrationaler irrationalere irrationalerem irrationaleren ir</t>
  </si>
  <si>
    <t>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kränkel kränkele kränkelen kränkeln kränkelst kränkelt kränkelte krä</t>
  </si>
  <si>
    <t>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lebensfeindlichsten lebensfeindlichster lebensfeindlichstes Lebensg</t>
  </si>
  <si>
    <t>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miserables missachten Missachtung Missbrauch Missbräuche missbrauchen Miss</t>
  </si>
  <si>
    <t xml:space="preserve">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niederträchtigeren niederträchtigerer niederträchtigeres niederträchtiges </t>
  </si>
  <si>
    <t xml:space="preserve">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Reklamation Reklamationen renitent renitente renitentem renitenten </t>
  </si>
  <si>
    <t>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 schleppenderem schleppenderen schleppenderer schleppenderes schl</t>
  </si>
  <si>
    <t>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schwindligeren schwindligerer schwindligeres schwindliges schwind</t>
  </si>
  <si>
    <t>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terrorisier terrorisiere terrorisieren terrorisierest terrorisieret terro</t>
  </si>
  <si>
    <t>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umständlichster umständlichstes umstritten umstrittene umstritten</t>
  </si>
  <si>
    <t>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undankbarere undankbarerem undankbareren undankbarerer undankbare</t>
  </si>
  <si>
    <t>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ungebetenerem ungebeteneren ungebetenerer ungebeteneres ungebetene</t>
  </si>
  <si>
    <t>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unglaubwürdigere unglaubwürdigerem unglaubwürdigeren unglaubwürdigerer un</t>
  </si>
  <si>
    <t>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unregelmäßigstes unrentabel unrentabelst unrentabelste unrentabelstem unre</t>
  </si>
  <si>
    <t>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untröstlicherem untröstlicheren untröstlicherer untröstlicheres unt</t>
  </si>
  <si>
    <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unzivilisiertes unzivilisiertest unzivilisierteste unzivilisiertestem u</t>
  </si>
  <si>
    <t>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verfallenerem verfalleneren verfallenerer verfalleneres verfallenes verfall</t>
  </si>
  <si>
    <t>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verschimmelt verschlechtern Verschlechterung Verschlechterungen ver</t>
  </si>
  <si>
    <t>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wahnsinnigeres wahnsinniges wahnsinnigst wahnsinnigste wahnsinnigstem wahnsin</t>
  </si>
  <si>
    <t>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zerstörerischeres zerstörerisches zerstörerischst zerstörerischste zerstöre</t>
  </si>
  <si>
    <t>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zwingen▓SentimentWordsInList3░kill▓AddVertexContent░True▓AddWordList░True&lt;/value&gt;
      &lt;/setting&gt;
      &lt;setting name="TimeSeriesUserSettings" serializeAs="String"&gt;
        &lt;value&gt;TimeColumnName░Tweet Date (UTC)▓TimeSlice░Hours▓UniqueEdges░False▓SlicerColumns░Relationship&lt;/value&gt;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t>
  </si>
  <si>
    <t xml:space="preserve">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60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t>
  </si>
  <si>
    <t>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7.8pt&lt;/value&gt;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&lt;value&gt;Undirected&lt;/value&gt;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</si>
  <si>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&lt;ExportToEmailUserSettings&gt;
      &lt;setting name="SmtpUserName" serializeAs="String"&gt;
        &lt;value&gt;email@domain.abc&lt;/value&gt;
      &lt;/setting&gt;
      &lt;setting name="SpaceDelimitedToAddresses" serializeAs="String"&gt;
        &lt;value&gt;email@domain.abc&lt;/value&gt;
      &lt;/setting&gt;
      &lt;setting name="ExportWorkbookAndSettings" serializeAs="String"&gt;
        &lt;value&gt;True&lt;/value&gt;
      &lt;/setting&gt;
      &lt;setting name="ExportGraphML" serializeAs="String"&gt;
        &lt;value&gt;False&lt;/value&gt;
      &lt;/setting&gt;
      &lt;setting name="SmtpPort" serializeAs="String"&gt;
        &lt;value&gt;587&lt;/value&gt;
      &lt;/setting&gt;
      &lt;setting name="UseSslForSmtp" serializeAs="String"&gt;
        &lt;value&gt;True&lt;/value&gt;
      &lt;/setting&gt;
      &lt;setting name="UseFixedAspectRatio" serializeAs="String"&gt;
        &lt;value&gt;False&lt;/value&gt;
      &lt;/setting&gt;
      &lt;setting name="MessageBody" serializeAs="String"&gt;
        &lt;value&gt;&amp;lt;img src="http://www.nodexlgraphgallery.org/Images/SiteLogo.png" /&amp;gt;
This graph was brought to you by NodeXL Pro.
{Graph Image}
{Graph Summary}
For more information, go to &amp;lt;a href="https://nodexlgraphgallery.org/Pages/Registration.aspx"&amp;gt;NodeXL Pro&amp;lt;/a&amp;gt;.&lt;/value&gt;
      &lt;/setting&gt;
      &lt;setting name="SmtpHost" serializeAs="String"&gt;
        &lt;value&gt;mail.domain.abc&lt;/value&gt;
      &lt;/setting&gt;
      &lt;setting name="FromAddress" serializeAs="String"&gt;
        &lt;value&gt;email@domain.abc&lt;/value&gt;
      &lt;/setting&gt;
    &lt;/ExportToEmailUserSettings&gt;
    &lt;GraphImageUserSettings2&gt;
      &lt;setting name="ImageSize" serializeAs="String"&gt;
        &lt;value&gt;4096, 3072&lt;/value&gt;
    </t>
  </si>
  <si>
    <t xml:space="preserve">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&lt;value&gt;True&lt;/value&gt;
      &lt;/setting&gt;
      &lt;setting name="FooterText" serializeAs="String"&gt;
        &lt;value&gt;Network graph created with NodeXL Pro from the Social Media Research Foundation (https://www.smrfoundation.org)&lt;/value&gt;
      &lt;/setting&gt;
    &lt;/GraphImageUserSettings2&gt;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&lt;value&gt;Network graph created with NodeXL Pro from the Social Media Research Foundation (https://www.smrfoundation.org)&lt;/value&gt;
      &lt;/setting&gt;
      &lt;setting name="ImageFormat" serializeAs="String"&gt;
        &lt;value&gt;Png&lt;/value&gt;
      &lt;/setting&gt;
    &lt;/AutomatedGraphImageUserSettings&gt;
    &lt;AutoScaleUserSettings&gt;
      &lt;setting name="AutoScale" serializeAs="String"&gt;
        &lt;value&gt;True&lt;/value&gt;
      &lt;/setting&gt;
    &lt;/AutoScaleUserSettings&gt;
    &lt;ImportDataUserSettings&gt;
      &lt;setting name="SaveImportDescription" serializeAs="String"&gt;
        &lt;value&gt;True&lt;/value&gt;
      &lt;/setting&gt;
      &lt;setting name="AutomateAfterImport" serializeAs="String"&gt;
        &lt;value&gt;False&lt;/value&gt;
      &lt;/setting&gt;
      &lt;setting name="ClearTablesBeforeImport" serializeAs="String"&gt;
        &lt;value&gt;True&lt;/value&gt;
      &lt;/setting&gt;
    &lt;/ImportDataUserSettings&gt;
    &lt;AutomateTasksUserSettings&gt;
      &lt;setting name="AutomateThisWorkbookOnly" serializeAs="String"&gt;
        &lt;value&gt;True&lt;/value&gt;
      &lt;/setting&gt;
      &lt;setting name="FolderToAutomate" serializeAs="String"&gt;
        &lt;value /&gt;
      &lt;/setting&gt;
      &lt;setting name="TasksToRun" serializeAs="String"&gt;
        &lt;value&gt;CalculateGraphMetrics, AutoFillWorkbook, CalculateClusters, ReadWorkbook, SaveWorkbookIfNeverSaved, SaveGraphImageFile&lt;/value&gt;
      &lt;/setting&gt;
    &lt;/AutomateTasksUserSettings&gt;
    &lt;GraphMetricUserSettings&gt;
      &lt;setting name="GraphMetricsToCalculate" serializeAs="String"&gt;
        &lt;value&gt;Degree, ClusteringCoefficient, BrandesFastCentralities, EigenvectorCentrality, PageRank, OverallMetrics, GroupMetrics, ReciprocatedVertexPairRatio&lt;/value&gt;
      &lt;/setting&gt;
      &lt;setting name="OverallMetricsUserSettings" serializeAs="String"&gt;
        &lt;value /&gt;
      &lt;/setting&gt;
      &lt;setting name="WordMetricUserSettings" serializeAs="String"&gt;
        &lt;value&gt;CalculateSentiment░True▓TextColumnIsOnEdgeWorksheet░False▓TextColumnName░Text▓CountByGroup░False▓SkipSingleTerms░True▓WordsToSkip░0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t>
  </si>
  <si>
    <t xml:space="preserve"> your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
  </si>
  <si>
    <t>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t>
  </si>
  <si>
    <t>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t>
  </si>
  <si>
    <t>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t>
  </si>
  <si>
    <t>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t>
  </si>
  <si>
    <t>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t>
  </si>
  <si>
    <t>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t>
  </si>
  <si>
    <t>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t>
  </si>
  <si>
    <t xml:space="preserv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t>
  </si>
  <si>
    <t>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t>
  </si>
  <si>
    <t>-viewable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&lt;/GraphMetricUserSettings&gt;
    &lt;LayoutUserSettings&gt;
      &lt;setting name="FruchtermanReingoldIterations" serializeAs="String"&gt;
        &lt;value&gt;10&lt;/value&gt;
      &lt;/setting&gt;
      &lt;setting name="IntergroupEdgeStyle" serializeAs="String"&gt;
        &lt;value&gt;Show&lt;/value&gt;
      &lt;/setting&gt;
      &lt;setting name="FruchtermanReingoldC" serializeAs="String"&gt;
        &lt;value&gt;2&lt;/value&gt;
      &lt;/setting&gt;
      &lt;setting name="BoxLayoutAlgorithm" serializeAs="String"&gt;
        &lt;value&gt;Treemap&lt;/value&gt;
      &lt;/setting&gt;
      &lt;setting name="ImproveLayoutOfGroups" serializeAs="String"&gt;
        &lt;value&gt;False&lt;/value&gt;
      &lt;/setting&gt;
      &lt;setting name="LayoutStyle" serializeAs="String"&gt;
        &lt;value&gt;UseGroups&lt;/value&gt;
      &lt;/setting&gt;
      &lt;setting name="GroupRectanglePenWidth" serializeAs="String"&gt;
        &lt;value&gt;1&lt;/value&gt;
      &lt;/setting&gt;
      &lt;setting name="Margin" serializeAs="String"&gt;
        &lt;value&gt;6&lt;/value&gt;
      &lt;/setting&gt;
      &lt;setting name="Layout" serializeAs="String"&gt;
        &lt;value&gt;HarelKorenFastMultiscale&lt;/value&gt;
      &lt;/setting&gt;
    &lt;/LayoutUserSettings&gt;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&lt;value&gt;Betweenness Centrality&lt;/value&gt;
      &lt;/setting&gt;
      &lt;setting name="VertexRadiusSourceColumnName" serializeAs="String"&gt;
        &lt;value&gt;Betweenness Centrality&lt;/value&gt;
      &lt;/setting&gt;
      &lt;setting name="EdgeColorDetails"</t>
  </si>
  <si>
    <t>G1</t>
  </si>
  <si>
    <t>G2</t>
  </si>
  <si>
    <t>G3</t>
  </si>
  <si>
    <t>G4</t>
  </si>
  <si>
    <t>G5</t>
  </si>
  <si>
    <t>0, 12, 96</t>
  </si>
  <si>
    <t>0, 136, 227</t>
  </si>
  <si>
    <t>0, 100, 50</t>
  </si>
  <si>
    <t>0, 176, 22</t>
  </si>
  <si>
    <t>191, 0, 0</t>
  </si>
  <si>
    <t>Vertex Group</t>
  </si>
  <si>
    <t>Vertex 1 Group</t>
  </si>
  <si>
    <t>Vertex 2 Group</t>
  </si>
  <si>
    <t>Graph History</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</si>
  <si>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</si>
  <si>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</si>
  <si>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</si>
  <si>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</si>
  <si>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</si>
  <si>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</si>
  <si>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</si>
  <si>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</si>
  <si>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</si>
  <si>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</si>
  <si>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</si>
  <si>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</si>
  <si>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</si>
  <si>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</si>
  <si>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</si>
  <si>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</si>
  <si>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</si>
  <si>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</si>
  <si>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</si>
  <si>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</si>
  <si>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1.0.1.530</t>
  </si>
  <si>
    <t>The graph's vertices were grouped by cluster using the Clauset-Newman-Moore cluster algorithm.</t>
  </si>
  <si>
    <t>Key</t>
  </si>
  <si>
    <t>Action Label</t>
  </si>
  <si>
    <t>Action URL</t>
  </si>
  <si>
    <t>Brand Logo</t>
  </si>
  <si>
    <t>Brand URL</t>
  </si>
  <si>
    <t>Hashtag</t>
  </si>
  <si>
    <t>URL</t>
  </si>
  <si>
    <t>192, 192, 192</t>
  </si>
  <si>
    <t>244, 35, 35</t>
  </si>
  <si>
    <t>218, 113, 113</t>
  </si>
  <si>
    <t>Red</t>
  </si>
  <si>
    <t>205, 153, 153</t>
  </si>
  <si>
    <t>230, 74, 74</t>
  </si>
  <si>
    <t>Autofill Workbook Results</t>
  </si>
  <si>
    <t>GroupingDescription░The graph's vertices were grouped by cluster using the Clauset-Newman-Moore cluster algorithm.▓LayoutAlgorithm░The graph was laid out using the Harel-Koren Fast Multiscale layout algorithm.▓GraphDirectedness░The graph is undirected.</t>
  </si>
  <si>
    <t>The graph was laid out using the Harel-Koren Fast Multiscale layout algorithm.</t>
  </si>
  <si>
    <t>Edge Weight▓3▓8▓0▓True▓Silver▓Red▓▓Edge Weight▓3▓8▓0▓3▓10▓False▓Edge Weight▓3▓8▓0▓80▓40▓False▓▓0▓0▓0▓True▓Black▓Black▓▓Betweenness Centrality▓0▓109.283333▓3▓100▓1000▓False▓▓0▓0▓0▓0▓0▓False▓▓0▓0▓0▓0▓0▓False▓▓0▓0▓0▓0▓0▓False</t>
  </si>
  <si>
    <t xml:space="preserve"> serializeAs="String"&gt;
        &lt;value&gt;False False 0 0 Silver Red True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1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3 10 True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 /&gt;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0 100 1000 True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40 True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&lt;ColumnGroupUserSettings&gt;
      &lt;setting name="ColumnGroupsToShow" serializeAs="String"&gt;
        &lt;value&gt;EdgeDoNotHide, EdgeGraphMetrics, EdgeOtherColumns, VertexDoNotHide, VertexGraphMetrics, VertexOtherColumns, GroupDoNotHide, GroupGraphMetrics, GroupEdgeDoNotHide, GroupEdgeGraphMetrics&lt;/value&gt;
      &lt;/setting&gt;
    &lt;/ColumnGroupUserSettings&gt;
    &lt;ClusterUserSettings&gt;
      &lt;setting name="PutNeighborlessVerticesInOneCluster" serializeAs="String"&gt;
        &lt;value&gt;True&lt;/value&gt;
      &lt;/setting&gt;
      &lt;setting name="ClusterAlgorithm" serializeAs="String"&gt;
        &lt;value&gt;ClausetNewmanMoore&lt;/value&gt;
      &lt;/setting&gt;
    &lt;/ClusterUserSettings&gt;
    &lt;GraphZoomAndScaleUserSettings&gt;
      &lt;setting name="GraphScale" serializeAs="String"&gt;
        &lt;value&gt;0.4&lt;/value&gt;
      &lt;/setting&gt;
    &lt;/GraphZoomAndScaleUserSettings&gt;
    &lt;GeneralUserSettings4&gt;
      &lt;setting name="NewWorkbookGraphDirectedness" serializeAs="String"&gt;
        &lt;value&gt;Undirected&lt;/value&gt;
      &lt;/setting&gt;
      &lt;setting name="ReadEdgeLabels" serializeAs="String"&gt;
        &lt;value&gt;True&lt;/value&gt;
      &lt;/setting&gt;
      &lt;setting name="ShowGraphLegend" se</t>
  </si>
  <si>
    <t>rializeAs="String"&gt;
        &lt;value&gt;False&lt;/value&gt;
      &lt;/setting&gt;
      &lt;setting name="ShowGraphAxes" serializeAs="String"&gt;
        &lt;value&gt;False&lt;/value&gt;
      &lt;/setting&gt;
      &lt;setting name="ReadVertexLabels" serializeAs="String"&gt;
        &lt;value&gt;True&lt;/value&gt;
      &lt;/setting&gt;
      &lt;setting name="ReadGroupLabels" serializeAs="String"&gt;
        &lt;value&gt;True&lt;/value&gt;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36pt White BottomCenter 25 2147483647 Black True 350 Black 86 TopCenter Microsoft Sans Serif, 8.25pt Microsoft Sans Serif, 9.75pt&lt;/value&gt;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&lt;value&gt;Straight&lt;/value&gt;
      &lt;/setting&gt;
    &lt;/GeneralUserSettings4&gt;
  &lt;/userSettings&gt;
&lt;/configuration&gt;</t>
  </si>
  <si>
    <t>https://nodexlgraphgallery.org/Pages/Graph.aspx?graphID=294667</t>
  </si>
  <si>
    <t>https://nodexlgraphgallery.org/Images/Image.ashx?graphID=294667&amp;type=f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</si>
</sst>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08">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0" fontId="0" fillId="0" borderId="0" xfId="0"/>
    <xf numFmtId="164" fontId="0" fillId="3" borderId="1" xfId="23" applyNumberFormat="1" applyFont="1"/>
    <xf numFmtId="1"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2" borderId="1" xfId="20" applyNumberFormat="1" applyFont="1"/>
    <xf numFmtId="0" fontId="0" fillId="2" borderId="1" xfId="20" applyNumberFormat="1" applyFont="1" applyAlignment="1">
      <alignment wrapText="1"/>
    </xf>
    <xf numFmtId="0" fontId="0" fillId="0" borderId="0" xfId="0"/>
    <xf numFmtId="0" fontId="0" fillId="0" borderId="0" xfId="0"/>
    <xf numFmtId="0" fontId="0" fillId="0" borderId="0" xfId="0"/>
    <xf numFmtId="49" fontId="0" fillId="0" borderId="0" xfId="22" applyNumberFormat="1" applyFont="1" applyAlignment="1">
      <alignment/>
    </xf>
    <xf numFmtId="0" fontId="0" fillId="3" borderId="1" xfId="23" applyNumberFormat="1" applyFont="1"/>
    <xf numFmtId="0" fontId="0" fillId="2" borderId="1" xfId="20" applyNumberFormat="1" applyFont="1"/>
    <xf numFmtId="0" fontId="0" fillId="0" borderId="0" xfId="0" applyAlignment="1">
      <alignment/>
    </xf>
    <xf numFmtId="0" fontId="0" fillId="3" borderId="1" xfId="23" applyNumberFormat="1" applyFont="1" applyAlignment="1">
      <alignment/>
    </xf>
    <xf numFmtId="0" fontId="0" fillId="0" borderId="0" xfId="0" applyFill="1" applyAlignment="1">
      <alignment/>
    </xf>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12">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9" formatCode="@"/>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font>
        <b val="0"/>
        <i val="0"/>
        <u val="none"/>
        <strike val="0"/>
        <sz val="11"/>
        <name val="Calibri"/>
        <color theme="1"/>
        <condense val="0"/>
        <extend val="0"/>
      </font>
      <numFmt numFmtId="177" formatCode="0"/>
      <alignment horizontal="general" vertical="bottom" textRotation="0" wrapText="1" shrinkToFit="1" readingOrder="0"/>
      <border>
        <left style="thin">
          <color theme="0"/>
        </left>
      </border>
    </dxf>
    <dxf>
      <numFmt numFmtId="166" formatCode="#,##0.00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78" formatCode="General"/>
    </dxf>
    <dxf>
      <numFmt numFmtId="165" formatCode="#,##0.0"/>
    </dxf>
    <dxf>
      <numFmt numFmtId="165" formatCode="#,##0.0"/>
    </dxf>
    <dxf>
      <numFmt numFmtId="164" formatCode="0.0"/>
    </dxf>
    <dxf>
      <numFmt numFmtId="179" formatCode="@"/>
    </dxf>
    <dxf>
      <numFmt numFmtId="178" formatCode="General"/>
    </dxf>
    <dxf>
      <numFmt numFmtId="178" formatCode="General"/>
    </dxf>
    <dxf>
      <numFmt numFmtId="179" formatCode="@"/>
    </dxf>
    <dxf>
      <numFmt numFmtId="178" formatCode="General"/>
    </dxf>
    <dxf>
      <numFmt numFmtId="178" formatCode="General"/>
    </dxf>
    <dxf>
      <numFmt numFmtId="177" formatCode="0"/>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11"/>
      <tableStyleElement type="headerRow" dxfId="110"/>
    </tableStyle>
    <tableStyle name="NodeXL Table" pivot="0" count="1">
      <tableStyleElement type="headerRow" dxfId="10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715416"/>
        <c:axId val="44785561"/>
      </c:barChart>
      <c:catAx>
        <c:axId val="4971541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785561"/>
        <c:crosses val="autoZero"/>
        <c:auto val="1"/>
        <c:lblOffset val="100"/>
        <c:noMultiLvlLbl val="0"/>
      </c:catAx>
      <c:valAx>
        <c:axId val="44785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7154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16866"/>
        <c:axId val="3751795"/>
      </c:barChart>
      <c:catAx>
        <c:axId val="41686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51795"/>
        <c:crosses val="autoZero"/>
        <c:auto val="1"/>
        <c:lblOffset val="100"/>
        <c:noMultiLvlLbl val="0"/>
      </c:catAx>
      <c:valAx>
        <c:axId val="37517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8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3766156"/>
        <c:axId val="35459949"/>
      </c:barChart>
      <c:catAx>
        <c:axId val="3376615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459949"/>
        <c:crosses val="autoZero"/>
        <c:auto val="1"/>
        <c:lblOffset val="100"/>
        <c:noMultiLvlLbl val="0"/>
      </c:catAx>
      <c:valAx>
        <c:axId val="354599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661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0704086"/>
        <c:axId val="53683591"/>
      </c:barChart>
      <c:catAx>
        <c:axId val="507040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683591"/>
        <c:crosses val="autoZero"/>
        <c:auto val="1"/>
        <c:lblOffset val="100"/>
        <c:noMultiLvlLbl val="0"/>
      </c:catAx>
      <c:valAx>
        <c:axId val="536835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040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390272"/>
        <c:axId val="53403585"/>
      </c:barChart>
      <c:catAx>
        <c:axId val="1339027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403585"/>
        <c:crosses val="autoZero"/>
        <c:auto val="1"/>
        <c:lblOffset val="100"/>
        <c:noMultiLvlLbl val="0"/>
      </c:catAx>
      <c:valAx>
        <c:axId val="534035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902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870218"/>
        <c:axId val="30723099"/>
      </c:barChart>
      <c:catAx>
        <c:axId val="108702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723099"/>
        <c:crosses val="autoZero"/>
        <c:auto val="1"/>
        <c:lblOffset val="100"/>
        <c:noMultiLvlLbl val="0"/>
      </c:catAx>
      <c:valAx>
        <c:axId val="307230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870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8072436"/>
        <c:axId val="5543061"/>
      </c:barChart>
      <c:catAx>
        <c:axId val="80724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43061"/>
        <c:crosses val="autoZero"/>
        <c:auto val="1"/>
        <c:lblOffset val="100"/>
        <c:noMultiLvlLbl val="0"/>
      </c:catAx>
      <c:valAx>
        <c:axId val="55430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724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887550"/>
        <c:axId val="46334767"/>
      </c:barChart>
      <c:catAx>
        <c:axId val="498875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334767"/>
        <c:crosses val="autoZero"/>
        <c:auto val="1"/>
        <c:lblOffset val="100"/>
        <c:noMultiLvlLbl val="0"/>
      </c:catAx>
      <c:valAx>
        <c:axId val="46334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875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359720"/>
        <c:axId val="62128617"/>
      </c:barChart>
      <c:catAx>
        <c:axId val="14359720"/>
        <c:scaling>
          <c:orientation val="minMax"/>
        </c:scaling>
        <c:axPos val="b"/>
        <c:delete val="1"/>
        <c:majorTickMark val="out"/>
        <c:minorTickMark val="none"/>
        <c:tickLblPos val="none"/>
        <c:crossAx val="62128617"/>
        <c:crosses val="autoZero"/>
        <c:auto val="1"/>
        <c:lblOffset val="100"/>
        <c:noMultiLvlLbl val="0"/>
      </c:catAx>
      <c:valAx>
        <c:axId val="62128617"/>
        <c:scaling>
          <c:orientation val="minMax"/>
        </c:scaling>
        <c:axPos val="l"/>
        <c:delete val="1"/>
        <c:majorTickMark val="out"/>
        <c:minorTickMark val="none"/>
        <c:tickLblPos val="none"/>
        <c:crossAx val="143597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P45" totalsRowShown="0" headerRowDxfId="108" dataDxfId="107">
  <autoFilter ref="A2:P45"/>
  <tableColumns count="16">
    <tableColumn id="1" name="Vertex 1" dataDxfId="106"/>
    <tableColumn id="2" name="Vertex 2" dataDxfId="105"/>
    <tableColumn id="3" name="Color" dataDxfId="104"/>
    <tableColumn id="4" name="Width" dataDxfId="103"/>
    <tableColumn id="11" name="Style" dataDxfId="102"/>
    <tableColumn id="5" name="Opacity" dataDxfId="101"/>
    <tableColumn id="6" name="Visibility" dataDxfId="100"/>
    <tableColumn id="10" name="Label" dataDxfId="99"/>
    <tableColumn id="12" name="Label Text Color" dataDxfId="98"/>
    <tableColumn id="13" name="Label Font Size" dataDxfId="97"/>
    <tableColumn id="14" name="Reciprocated?" dataDxfId="96"/>
    <tableColumn id="7" name="ID" dataDxfId="95"/>
    <tableColumn id="9" name="Dynamic Filter" dataDxfId="94"/>
    <tableColumn id="8" name="Edge Weight" dataDxfId="31"/>
    <tableColumn id="15" name="Vertex 1 Group" dataDxfId="30">
      <calculatedColumnFormula>REPLACE(INDEX(GroupVertices[Group], MATCH("~"&amp;Edges[[#This Row],[Vertex 1]],GroupVertices[Vertex],0)),1,1,"")</calculatedColumnFormula>
    </tableColumn>
    <tableColumn id="16" name="Vertex 2 Group" dataDxfId="29">
      <calculatedColumnFormula>REPLACE(INDEX(GroupVertices[Group], MATCH("~"&amp;Edges[[#This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6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7" totalsRowShown="0" headerRowDxfId="47" dataDxfId="46">
  <autoFilter ref="A2:C17"/>
  <tableColumns count="3">
    <tableColumn id="1" name="Group 1" dataDxfId="13"/>
    <tableColumn id="2" name="Group 2" dataDxfId="12"/>
    <tableColumn id="3" name="Edges" dataDxfId="11"/>
  </tableColumns>
  <tableStyleInfo name="NodeXL Table" showFirstColumn="0" showLastColumn="0" showRowStripes="1" showColumnStripes="0"/>
</table>
</file>

<file path=xl/tables/table12.xml><?xml version="1.0" encoding="utf-8"?>
<table xmlns="http://schemas.openxmlformats.org/spreadsheetml/2006/main" id="11" name="ExportOptions" displayName="ExportOptions" ref="A1:B7" totalsRowShown="0" headerRowDxfId="45" dataDxfId="44">
  <autoFilter ref="A1:B7"/>
  <tableColumns count="2">
    <tableColumn id="1" name="Key" dataDxfId="8"/>
    <tableColumn id="2" name="Value"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E32" totalsRowShown="0" headerRowDxfId="68" dataDxfId="67">
  <autoFilter ref="A2:AE32"/>
  <sortState ref="A3:AE32">
    <sortCondition sortBy="value" ref="C3:C32"/>
  </sortState>
  <tableColumns count="31">
    <tableColumn id="1" name="Vertex" dataDxfId="66"/>
    <tableColumn id="2" name="Color" dataDxfId="65"/>
    <tableColumn id="5" name="Shape" dataDxfId="64"/>
    <tableColumn id="6" name="Size" dataDxfId="63"/>
    <tableColumn id="4" name="Opacity" dataDxfId="62"/>
    <tableColumn id="7" name="Image File" dataDxfId="61"/>
    <tableColumn id="3" name="Visibility" dataDxfId="60"/>
    <tableColumn id="10" name="Label" dataDxfId="59"/>
    <tableColumn id="16" name="Label Fill Color" dataDxfId="58"/>
    <tableColumn id="9" name="Label Position" dataDxfId="57"/>
    <tableColumn id="8" name="Tooltip" dataDxfId="56"/>
    <tableColumn id="18" name="Layout Order" dataDxfId="55"/>
    <tableColumn id="13" name="X" dataDxfId="54"/>
    <tableColumn id="14" name="Y" dataDxfId="53"/>
    <tableColumn id="12" name="Locked?" dataDxfId="52"/>
    <tableColumn id="19" name="Polar R" dataDxfId="51"/>
    <tableColumn id="20" name="Polar Angle" dataDxfId="43"/>
    <tableColumn id="21" name="Degree" dataDxfId="41"/>
    <tableColumn id="22" name="In-Degree" dataDxfId="42"/>
    <tableColumn id="23" name="Out-Degree" dataDxfId="6"/>
    <tableColumn id="24" name="Betweenness Centrality" dataDxfId="5"/>
    <tableColumn id="25" name="Closeness Centrality" dataDxfId="4"/>
    <tableColumn id="26" name="Eigenvector Centrality" dataDxfId="3"/>
    <tableColumn id="15" name="PageRank" dataDxfId="2"/>
    <tableColumn id="27" name="Clustering Coefficient" dataDxfId="0"/>
    <tableColumn id="29" name="Reciprocated Vertex Pair Ratio" dataDxfId="1"/>
    <tableColumn id="11" name="ID" dataDxfId="50"/>
    <tableColumn id="28" name="Dynamic Filter" dataDxfId="49"/>
    <tableColumn id="17" name="Gender" dataDxfId="48"/>
    <tableColumn id="30" name="Betweenness Centrality2" dataDxfId="33"/>
    <tableColumn id="31" name="Vertex Group" dataDxfId="32">
      <calculatedColumnFormula>REPLACE(INDEX(GroupVertices[Group], MATCH("~"&amp;Vertices[[#This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X7" totalsRowShown="0" headerRowDxfId="93">
  <autoFilter ref="A2:X7"/>
  <tableColumns count="24">
    <tableColumn id="1" name="Group" dataDxfId="40"/>
    <tableColumn id="2" name="Vertex Color" dataDxfId="39"/>
    <tableColumn id="3" name="Vertex Shape" dataDxfId="37"/>
    <tableColumn id="22" name="Visibility" dataDxfId="38"/>
    <tableColumn id="4" name="Collapsed?"/>
    <tableColumn id="18" name="Label" dataDxfId="92"/>
    <tableColumn id="20" name="Collapsed X"/>
    <tableColumn id="21" name="Collapsed Y"/>
    <tableColumn id="6" name="ID" dataDxfId="91"/>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0" totalsRowShown="0" headerRowDxfId="90" dataDxfId="89">
  <autoFilter ref="A1:C30"/>
  <tableColumns count="3">
    <tableColumn id="1" name="Group" dataDxfId="36"/>
    <tableColumn id="2" name="Vertex" dataDxfId="35"/>
    <tableColumn id="3" name="Vertex ID" dataDxfId="34">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0"/>
    <tableColumn id="2" name="Value" dataDxfId="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88"/>
    <tableColumn id="2" name="Degree Frequency" dataDxfId="87">
      <calculatedColumnFormula>COUNTIF(Vertices[Degree], "&gt;= " &amp; D2) - COUNTIF(Vertices[Degree], "&gt;=" &amp; D3)</calculatedColumnFormula>
    </tableColumn>
    <tableColumn id="3" name="In-Degree Bin" dataDxfId="86"/>
    <tableColumn id="4" name="In-Degree Frequency" dataDxfId="85">
      <calculatedColumnFormula>COUNTIF(Vertices[In-Degree], "&gt;= " &amp; F2) - COUNTIF(Vertices[In-Degree], "&gt;=" &amp; F3)</calculatedColumnFormula>
    </tableColumn>
    <tableColumn id="5" name="Out-Degree Bin" dataDxfId="84"/>
    <tableColumn id="6" name="Out-Degree Frequency" dataDxfId="83">
      <calculatedColumnFormula>COUNTIF(Vertices[Out-Degree], "&gt;= " &amp; H2) - COUNTIF(Vertices[Out-Degree], "&gt;=" &amp; H3)</calculatedColumnFormula>
    </tableColumn>
    <tableColumn id="7" name="Betweenness Centrality Bin" dataDxfId="82"/>
    <tableColumn id="8" name="Betweenness Centrality Frequency" dataDxfId="81">
      <calculatedColumnFormula>COUNTIF(Vertices[Betweenness Centrality], "&gt;= " &amp; J2) - COUNTIF(Vertices[Betweenness Centrality], "&gt;=" &amp; J3)</calculatedColumnFormula>
    </tableColumn>
    <tableColumn id="9" name="Closeness Centrality Bin" dataDxfId="80"/>
    <tableColumn id="10" name="Closeness Centrality Frequency" dataDxfId="79">
      <calculatedColumnFormula>COUNTIF(Vertices[Closeness Centrality], "&gt;= " &amp; L2) - COUNTIF(Vertices[Closeness Centrality], "&gt;=" &amp; L3)</calculatedColumnFormula>
    </tableColumn>
    <tableColumn id="11" name="Eigenvector Centrality Bin" dataDxfId="78"/>
    <tableColumn id="12" name="Eigenvector Centrality Frequency" dataDxfId="77">
      <calculatedColumnFormula>COUNTIF(Vertices[Eigenvector Centrality], "&gt;= " &amp; N2) - COUNTIF(Vertices[Eigenvector Centrality], "&gt;=" &amp; N3)</calculatedColumnFormula>
    </tableColumn>
    <tableColumn id="18" name="PageRank Bin" dataDxfId="76"/>
    <tableColumn id="17" name="PageRank Frequency" dataDxfId="75">
      <calculatedColumnFormula>COUNTIF(Vertices[Eigenvector Centrality], "&gt;= " &amp; P2) - COUNTIF(Vertices[Eigenvector Centrality], "&gt;=" &amp; P3)</calculatedColumnFormula>
    </tableColumn>
    <tableColumn id="13" name="Clustering Coefficient Bin" dataDxfId="74"/>
    <tableColumn id="14" name="Clustering Coefficient Frequency" dataDxfId="73">
      <calculatedColumnFormula>COUNTIF(Vertices[Clustering Coefficient], "&gt;= " &amp; R2) - COUNTIF(Vertices[Clustering Coefficient], "&gt;=" &amp; R3)</calculatedColumnFormula>
    </tableColumn>
    <tableColumn id="15" name="Dynamic Filter Bin" dataDxfId="72"/>
    <tableColumn id="16" name="Dynamic Filter Frequency" dataDxfId="7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70">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5"/>
  <sheetViews>
    <sheetView workbookViewId="0" topLeftCell="A1">
      <pane xSplit="2" ySplit="2" topLeftCell="C3" activePane="bottomRight" state="frozen"/>
      <selection pane="topRight" activeCell="C1" sqref="C1"/>
      <selection pane="bottomLeft" activeCell="A3" sqref="A3"/>
      <selection pane="bottomRight" activeCell="A37" sqref="A37:P37 A15:P15 A10:P10"/>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6" width="10.7109375" style="0" bestFit="1" customWidth="1"/>
  </cols>
  <sheetData>
    <row r="1" spans="3:14" ht="15">
      <c r="C1" s="15" t="s">
        <v>39</v>
      </c>
      <c r="D1" s="16"/>
      <c r="E1" s="16"/>
      <c r="F1" s="16"/>
      <c r="G1" s="15"/>
      <c r="H1" s="13" t="s">
        <v>43</v>
      </c>
      <c r="I1" s="60"/>
      <c r="J1" s="60"/>
      <c r="K1" s="31" t="s">
        <v>42</v>
      </c>
      <c r="L1" s="17" t="s">
        <v>40</v>
      </c>
      <c r="M1" s="17"/>
      <c r="N1" s="14" t="s">
        <v>41</v>
      </c>
    </row>
    <row r="2" spans="1:1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283</v>
      </c>
      <c r="O2" s="7" t="s">
        <v>366</v>
      </c>
      <c r="P2" s="7" t="s">
        <v>367</v>
      </c>
    </row>
    <row r="3" spans="1:16" ht="15" customHeight="1">
      <c r="A3" s="85" t="s">
        <v>249</v>
      </c>
      <c r="B3" s="85" t="s">
        <v>251</v>
      </c>
      <c r="C3" s="49" t="s">
        <v>398</v>
      </c>
      <c r="D3" s="50">
        <v>3</v>
      </c>
      <c r="E3" s="61"/>
      <c r="F3" s="51">
        <v>80</v>
      </c>
      <c r="G3" s="49"/>
      <c r="H3" s="53"/>
      <c r="I3" s="52"/>
      <c r="J3" s="52"/>
      <c r="K3" s="63"/>
      <c r="L3" s="58">
        <v>3</v>
      </c>
      <c r="M3" s="58"/>
      <c r="N3" s="86">
        <v>3</v>
      </c>
      <c r="O3" s="90" t="str">
        <f>REPLACE(INDEX(GroupVertices[Group],MATCH("~"&amp;Edges[[#This Row],[Vertex 1]],GroupVertices[Vertex],0)),1,1,"")</f>
        <v>4</v>
      </c>
      <c r="P3" s="90" t="str">
        <f>REPLACE(INDEX(GroupVertices[Group],MATCH("~"&amp;Edges[[#This Row],[Vertex 2]],GroupVertices[Vertex],0)),1,1,"")</f>
        <v>4</v>
      </c>
    </row>
    <row r="4" spans="1:16" ht="15" customHeight="1">
      <c r="A4" s="46" t="s">
        <v>249</v>
      </c>
      <c r="B4" s="46" t="s">
        <v>257</v>
      </c>
      <c r="C4" s="49" t="s">
        <v>399</v>
      </c>
      <c r="D4" s="50">
        <v>8.6</v>
      </c>
      <c r="E4" s="61"/>
      <c r="F4" s="51">
        <v>48</v>
      </c>
      <c r="G4" s="49"/>
      <c r="H4" s="53"/>
      <c r="I4" s="52"/>
      <c r="J4" s="52"/>
      <c r="K4" s="63"/>
      <c r="L4" s="83">
        <v>4</v>
      </c>
      <c r="M4" s="83"/>
      <c r="N4" s="86">
        <v>7</v>
      </c>
      <c r="O4" s="90" t="str">
        <f>REPLACE(INDEX(GroupVertices[Group],MATCH("~"&amp;Edges[[#This Row],[Vertex 1]],GroupVertices[Vertex],0)),1,1,"")</f>
        <v>4</v>
      </c>
      <c r="P4" s="90" t="str">
        <f>REPLACE(INDEX(GroupVertices[Group],MATCH("~"&amp;Edges[[#This Row],[Vertex 2]],GroupVertices[Vertex],0)),1,1,"")</f>
        <v>2</v>
      </c>
    </row>
    <row r="5" spans="1:16" ht="45">
      <c r="A5" s="46" t="s">
        <v>249</v>
      </c>
      <c r="B5" s="46" t="s">
        <v>259</v>
      </c>
      <c r="C5" s="49" t="s">
        <v>400</v>
      </c>
      <c r="D5" s="50">
        <v>5.8</v>
      </c>
      <c r="E5" s="61"/>
      <c r="F5" s="51">
        <v>64</v>
      </c>
      <c r="G5" s="49"/>
      <c r="H5" s="53"/>
      <c r="I5" s="52"/>
      <c r="J5" s="52"/>
      <c r="K5" s="63"/>
      <c r="L5" s="83">
        <v>5</v>
      </c>
      <c r="M5" s="83"/>
      <c r="N5" s="86">
        <v>5</v>
      </c>
      <c r="O5" s="90" t="str">
        <f>REPLACE(INDEX(GroupVertices[Group],MATCH("~"&amp;Edges[[#This Row],[Vertex 1]],GroupVertices[Vertex],0)),1,1,"")</f>
        <v>4</v>
      </c>
      <c r="P5" s="90" t="str">
        <f>REPLACE(INDEX(GroupVertices[Group],MATCH("~"&amp;Edges[[#This Row],[Vertex 2]],GroupVertices[Vertex],0)),1,1,"")</f>
        <v>5</v>
      </c>
    </row>
    <row r="6" spans="1:16" ht="15">
      <c r="A6" s="46" t="s">
        <v>249</v>
      </c>
      <c r="B6" s="46" t="s">
        <v>262</v>
      </c>
      <c r="C6" s="49" t="s">
        <v>401</v>
      </c>
      <c r="D6" s="50">
        <v>10</v>
      </c>
      <c r="E6" s="61"/>
      <c r="F6" s="51">
        <v>40</v>
      </c>
      <c r="G6" s="49"/>
      <c r="H6" s="53"/>
      <c r="I6" s="52"/>
      <c r="J6" s="52"/>
      <c r="K6" s="63"/>
      <c r="L6" s="83">
        <v>6</v>
      </c>
      <c r="M6" s="83"/>
      <c r="N6" s="86">
        <v>9</v>
      </c>
      <c r="O6" s="90" t="str">
        <f>REPLACE(INDEX(GroupVertices[Group],MATCH("~"&amp;Edges[[#This Row],[Vertex 1]],GroupVertices[Vertex],0)),1,1,"")</f>
        <v>4</v>
      </c>
      <c r="P6" s="90" t="str">
        <f>REPLACE(INDEX(GroupVertices[Group],MATCH("~"&amp;Edges[[#This Row],[Vertex 2]],GroupVertices[Vertex],0)),1,1,"")</f>
        <v>4</v>
      </c>
    </row>
    <row r="7" spans="1:16" ht="30">
      <c r="A7" s="46" t="s">
        <v>249</v>
      </c>
      <c r="B7" s="46" t="s">
        <v>269</v>
      </c>
      <c r="C7" s="49" t="s">
        <v>399</v>
      </c>
      <c r="D7" s="50">
        <v>8.6</v>
      </c>
      <c r="E7" s="61"/>
      <c r="F7" s="51">
        <v>48</v>
      </c>
      <c r="G7" s="49"/>
      <c r="H7" s="53"/>
      <c r="I7" s="52"/>
      <c r="J7" s="52"/>
      <c r="K7" s="63"/>
      <c r="L7" s="83">
        <v>7</v>
      </c>
      <c r="M7" s="83"/>
      <c r="N7" s="86">
        <v>7</v>
      </c>
      <c r="O7" s="90" t="str">
        <f>REPLACE(INDEX(GroupVertices[Group],MATCH("~"&amp;Edges[[#This Row],[Vertex 1]],GroupVertices[Vertex],0)),1,1,"")</f>
        <v>4</v>
      </c>
      <c r="P7" s="90" t="str">
        <f>REPLACE(INDEX(GroupVertices[Group],MATCH("~"&amp;Edges[[#This Row],[Vertex 2]],GroupVertices[Vertex],0)),1,1,"")</f>
        <v>1</v>
      </c>
    </row>
    <row r="8" spans="1:16" ht="45">
      <c r="A8" s="46" t="s">
        <v>249</v>
      </c>
      <c r="B8" s="46" t="s">
        <v>276</v>
      </c>
      <c r="C8" s="49" t="s">
        <v>398</v>
      </c>
      <c r="D8" s="50">
        <v>3</v>
      </c>
      <c r="E8" s="61"/>
      <c r="F8" s="51">
        <v>80</v>
      </c>
      <c r="G8" s="49"/>
      <c r="H8" s="53"/>
      <c r="I8" s="52"/>
      <c r="J8" s="52"/>
      <c r="K8" s="63"/>
      <c r="L8" s="83">
        <v>8</v>
      </c>
      <c r="M8" s="83"/>
      <c r="N8" s="86">
        <v>2</v>
      </c>
      <c r="O8" s="90" t="str">
        <f>REPLACE(INDEX(GroupVertices[Group],MATCH("~"&amp;Edges[[#This Row],[Vertex 1]],GroupVertices[Vertex],0)),1,1,"")</f>
        <v>4</v>
      </c>
      <c r="P8" s="90" t="str">
        <f>REPLACE(INDEX(GroupVertices[Group],MATCH("~"&amp;Edges[[#This Row],[Vertex 2]],GroupVertices[Vertex],0)),1,1,"")</f>
        <v>4</v>
      </c>
    </row>
    <row r="9" spans="1:16" ht="45">
      <c r="A9" s="46" t="s">
        <v>249</v>
      </c>
      <c r="B9" s="46" t="s">
        <v>277</v>
      </c>
      <c r="C9" s="49" t="s">
        <v>402</v>
      </c>
      <c r="D9" s="50">
        <v>4.4</v>
      </c>
      <c r="E9" s="61"/>
      <c r="F9" s="51">
        <v>72</v>
      </c>
      <c r="G9" s="49"/>
      <c r="H9" s="53"/>
      <c r="I9" s="52"/>
      <c r="J9" s="52"/>
      <c r="K9" s="63"/>
      <c r="L9" s="83">
        <v>9</v>
      </c>
      <c r="M9" s="83"/>
      <c r="N9" s="86">
        <v>4</v>
      </c>
      <c r="O9" s="90" t="str">
        <f>REPLACE(INDEX(GroupVertices[Group],MATCH("~"&amp;Edges[[#This Row],[Vertex 1]],GroupVertices[Vertex],0)),1,1,"")</f>
        <v>4</v>
      </c>
      <c r="P9" s="90" t="str">
        <f>REPLACE(INDEX(GroupVertices[Group],MATCH("~"&amp;Edges[[#This Row],[Vertex 2]],GroupVertices[Vertex],0)),1,1,"")</f>
        <v>1</v>
      </c>
    </row>
    <row r="10" spans="1:16" ht="15">
      <c r="A10" s="46" t="s">
        <v>250</v>
      </c>
      <c r="B10" s="46" t="s">
        <v>263</v>
      </c>
      <c r="C10" s="49" t="s">
        <v>401</v>
      </c>
      <c r="D10" s="50">
        <v>10</v>
      </c>
      <c r="E10" s="61"/>
      <c r="F10" s="51">
        <v>40</v>
      </c>
      <c r="G10" s="49"/>
      <c r="H10" s="53"/>
      <c r="I10" s="52"/>
      <c r="J10" s="52"/>
      <c r="K10" s="63"/>
      <c r="L10" s="83">
        <v>10</v>
      </c>
      <c r="M10" s="83"/>
      <c r="N10" s="86">
        <v>9</v>
      </c>
      <c r="O10" s="90" t="str">
        <f>REPLACE(INDEX(GroupVertices[Group],MATCH("~"&amp;Edges[[#This Row],[Vertex 1]],GroupVertices[Vertex],0)),1,1,"")</f>
        <v>3</v>
      </c>
      <c r="P10" s="90" t="str">
        <f>REPLACE(INDEX(GroupVertices[Group],MATCH("~"&amp;Edges[[#This Row],[Vertex 2]],GroupVertices[Vertex],0)),1,1,"")</f>
        <v>3</v>
      </c>
    </row>
    <row r="11" spans="1:16" ht="45">
      <c r="A11" s="46" t="s">
        <v>250</v>
      </c>
      <c r="B11" s="46" t="s">
        <v>266</v>
      </c>
      <c r="C11" s="49" t="s">
        <v>398</v>
      </c>
      <c r="D11" s="50">
        <v>3</v>
      </c>
      <c r="E11" s="61"/>
      <c r="F11" s="51">
        <v>80</v>
      </c>
      <c r="G11" s="49"/>
      <c r="H11" s="53"/>
      <c r="I11" s="52"/>
      <c r="J11" s="52"/>
      <c r="K11" s="63"/>
      <c r="L11" s="83">
        <v>11</v>
      </c>
      <c r="M11" s="83"/>
      <c r="N11" s="86">
        <v>2</v>
      </c>
      <c r="O11" s="90" t="str">
        <f>REPLACE(INDEX(GroupVertices[Group],MATCH("~"&amp;Edges[[#This Row],[Vertex 1]],GroupVertices[Vertex],0)),1,1,"")</f>
        <v>3</v>
      </c>
      <c r="P11" s="90" t="str">
        <f>REPLACE(INDEX(GroupVertices[Group],MATCH("~"&amp;Edges[[#This Row],[Vertex 2]],GroupVertices[Vertex],0)),1,1,"")</f>
        <v>3</v>
      </c>
    </row>
    <row r="12" spans="1:16" ht="15">
      <c r="A12" s="46" t="s">
        <v>251</v>
      </c>
      <c r="B12" s="46" t="s">
        <v>262</v>
      </c>
      <c r="C12" s="49" t="s">
        <v>401</v>
      </c>
      <c r="D12" s="50">
        <v>10</v>
      </c>
      <c r="E12" s="61"/>
      <c r="F12" s="51">
        <v>40</v>
      </c>
      <c r="G12" s="49"/>
      <c r="H12" s="53"/>
      <c r="I12" s="52"/>
      <c r="J12" s="52"/>
      <c r="K12" s="63"/>
      <c r="L12" s="83">
        <v>12</v>
      </c>
      <c r="M12" s="83"/>
      <c r="N12" s="86">
        <v>10</v>
      </c>
      <c r="O12" s="90" t="str">
        <f>REPLACE(INDEX(GroupVertices[Group],MATCH("~"&amp;Edges[[#This Row],[Vertex 1]],GroupVertices[Vertex],0)),1,1,"")</f>
        <v>4</v>
      </c>
      <c r="P12" s="90" t="str">
        <f>REPLACE(INDEX(GroupVertices[Group],MATCH("~"&amp;Edges[[#This Row],[Vertex 2]],GroupVertices[Vertex],0)),1,1,"")</f>
        <v>4</v>
      </c>
    </row>
    <row r="13" spans="1:16" ht="15">
      <c r="A13" s="46" t="s">
        <v>252</v>
      </c>
      <c r="B13" s="46" t="s">
        <v>257</v>
      </c>
      <c r="C13" s="49" t="s">
        <v>401</v>
      </c>
      <c r="D13" s="50">
        <v>10</v>
      </c>
      <c r="E13" s="61"/>
      <c r="F13" s="51">
        <v>40</v>
      </c>
      <c r="G13" s="49"/>
      <c r="H13" s="53"/>
      <c r="I13" s="52"/>
      <c r="J13" s="52"/>
      <c r="K13" s="63"/>
      <c r="L13" s="83">
        <v>13</v>
      </c>
      <c r="M13" s="83"/>
      <c r="N13" s="86">
        <v>9</v>
      </c>
      <c r="O13" s="90" t="str">
        <f>REPLACE(INDEX(GroupVertices[Group],MATCH("~"&amp;Edges[[#This Row],[Vertex 1]],GroupVertices[Vertex],0)),1,1,"")</f>
        <v>1</v>
      </c>
      <c r="P13" s="90" t="str">
        <f>REPLACE(INDEX(GroupVertices[Group],MATCH("~"&amp;Edges[[#This Row],[Vertex 2]],GroupVertices[Vertex],0)),1,1,"")</f>
        <v>2</v>
      </c>
    </row>
    <row r="14" spans="1:16" ht="15">
      <c r="A14" s="46" t="s">
        <v>252</v>
      </c>
      <c r="B14" s="46" t="s">
        <v>258</v>
      </c>
      <c r="C14" s="49" t="s">
        <v>401</v>
      </c>
      <c r="D14" s="50">
        <v>10</v>
      </c>
      <c r="E14" s="61"/>
      <c r="F14" s="51">
        <v>40</v>
      </c>
      <c r="G14" s="49"/>
      <c r="H14" s="53"/>
      <c r="I14" s="52"/>
      <c r="J14" s="52"/>
      <c r="K14" s="63"/>
      <c r="L14" s="83">
        <v>14</v>
      </c>
      <c r="M14" s="83"/>
      <c r="N14" s="86">
        <v>10</v>
      </c>
      <c r="O14" s="90" t="str">
        <f>REPLACE(INDEX(GroupVertices[Group],MATCH("~"&amp;Edges[[#This Row],[Vertex 1]],GroupVertices[Vertex],0)),1,1,"")</f>
        <v>1</v>
      </c>
      <c r="P14" s="90" t="str">
        <f>REPLACE(INDEX(GroupVertices[Group],MATCH("~"&amp;Edges[[#This Row],[Vertex 2]],GroupVertices[Vertex],0)),1,1,"")</f>
        <v>1</v>
      </c>
    </row>
    <row r="15" spans="1:16" ht="45">
      <c r="A15" s="46" t="s">
        <v>252</v>
      </c>
      <c r="B15" s="46" t="s">
        <v>263</v>
      </c>
      <c r="C15" s="49" t="s">
        <v>400</v>
      </c>
      <c r="D15" s="50">
        <v>5.8</v>
      </c>
      <c r="E15" s="61"/>
      <c r="F15" s="51">
        <v>64</v>
      </c>
      <c r="G15" s="49"/>
      <c r="H15" s="53"/>
      <c r="I15" s="52"/>
      <c r="J15" s="52"/>
      <c r="K15" s="63"/>
      <c r="L15" s="83">
        <v>15</v>
      </c>
      <c r="M15" s="83"/>
      <c r="N15" s="86">
        <v>5</v>
      </c>
      <c r="O15" s="90" t="str">
        <f>REPLACE(INDEX(GroupVertices[Group],MATCH("~"&amp;Edges[[#This Row],[Vertex 1]],GroupVertices[Vertex],0)),1,1,"")</f>
        <v>1</v>
      </c>
      <c r="P15" s="90" t="str">
        <f>REPLACE(INDEX(GroupVertices[Group],MATCH("~"&amp;Edges[[#This Row],[Vertex 2]],GroupVertices[Vertex],0)),1,1,"")</f>
        <v>3</v>
      </c>
    </row>
    <row r="16" spans="1:16" ht="45">
      <c r="A16" s="46" t="s">
        <v>252</v>
      </c>
      <c r="B16" s="46" t="s">
        <v>269</v>
      </c>
      <c r="C16" s="49" t="s">
        <v>398</v>
      </c>
      <c r="D16" s="50">
        <v>3</v>
      </c>
      <c r="E16" s="61"/>
      <c r="F16" s="51">
        <v>80</v>
      </c>
      <c r="G16" s="49"/>
      <c r="H16" s="53"/>
      <c r="I16" s="52"/>
      <c r="J16" s="52"/>
      <c r="K16" s="63"/>
      <c r="L16" s="83">
        <v>16</v>
      </c>
      <c r="M16" s="83"/>
      <c r="N16" s="86">
        <v>2</v>
      </c>
      <c r="O16" s="90" t="str">
        <f>REPLACE(INDEX(GroupVertices[Group],MATCH("~"&amp;Edges[[#This Row],[Vertex 1]],GroupVertices[Vertex],0)),1,1,"")</f>
        <v>1</v>
      </c>
      <c r="P16" s="90" t="str">
        <f>REPLACE(INDEX(GroupVertices[Group],MATCH("~"&amp;Edges[[#This Row],[Vertex 2]],GroupVertices[Vertex],0)),1,1,"")</f>
        <v>1</v>
      </c>
    </row>
    <row r="17" spans="1:16" ht="45">
      <c r="A17" s="46" t="s">
        <v>253</v>
      </c>
      <c r="B17" s="46" t="s">
        <v>268</v>
      </c>
      <c r="C17" s="49" t="s">
        <v>402</v>
      </c>
      <c r="D17" s="50">
        <v>4.4</v>
      </c>
      <c r="E17" s="61"/>
      <c r="F17" s="51">
        <v>72</v>
      </c>
      <c r="G17" s="49"/>
      <c r="H17" s="53"/>
      <c r="I17" s="52"/>
      <c r="J17" s="52"/>
      <c r="K17" s="63"/>
      <c r="L17" s="83">
        <v>17</v>
      </c>
      <c r="M17" s="83"/>
      <c r="N17" s="86">
        <v>4</v>
      </c>
      <c r="O17" s="90" t="str">
        <f>REPLACE(INDEX(GroupVertices[Group],MATCH("~"&amp;Edges[[#This Row],[Vertex 1]],GroupVertices[Vertex],0)),1,1,"")</f>
        <v>2</v>
      </c>
      <c r="P17" s="90" t="str">
        <f>REPLACE(INDEX(GroupVertices[Group],MATCH("~"&amp;Edges[[#This Row],[Vertex 2]],GroupVertices[Vertex],0)),1,1,"")</f>
        <v>2</v>
      </c>
    </row>
    <row r="18" spans="1:16" ht="30">
      <c r="A18" s="46" t="s">
        <v>253</v>
      </c>
      <c r="B18" s="46" t="s">
        <v>270</v>
      </c>
      <c r="C18" s="49" t="s">
        <v>399</v>
      </c>
      <c r="D18" s="50">
        <v>8.6</v>
      </c>
      <c r="E18" s="61"/>
      <c r="F18" s="51">
        <v>48</v>
      </c>
      <c r="G18" s="49"/>
      <c r="H18" s="53"/>
      <c r="I18" s="52"/>
      <c r="J18" s="52"/>
      <c r="K18" s="63"/>
      <c r="L18" s="83">
        <v>18</v>
      </c>
      <c r="M18" s="83"/>
      <c r="N18" s="86">
        <v>7</v>
      </c>
      <c r="O18" s="90" t="str">
        <f>REPLACE(INDEX(GroupVertices[Group],MATCH("~"&amp;Edges[[#This Row],[Vertex 1]],GroupVertices[Vertex],0)),1,1,"")</f>
        <v>2</v>
      </c>
      <c r="P18" s="90" t="str">
        <f>REPLACE(INDEX(GroupVertices[Group],MATCH("~"&amp;Edges[[#This Row],[Vertex 2]],GroupVertices[Vertex],0)),1,1,"")</f>
        <v>2</v>
      </c>
    </row>
    <row r="19" spans="1:16" ht="15">
      <c r="A19" s="46" t="s">
        <v>253</v>
      </c>
      <c r="B19" s="46" t="s">
        <v>275</v>
      </c>
      <c r="C19" s="49" t="s">
        <v>401</v>
      </c>
      <c r="D19" s="50">
        <v>10</v>
      </c>
      <c r="E19" s="61"/>
      <c r="F19" s="51">
        <v>40</v>
      </c>
      <c r="G19" s="49"/>
      <c r="H19" s="53"/>
      <c r="I19" s="52"/>
      <c r="J19" s="52"/>
      <c r="K19" s="63"/>
      <c r="L19" s="83">
        <v>19</v>
      </c>
      <c r="M19" s="83"/>
      <c r="N19" s="86">
        <v>8</v>
      </c>
      <c r="O19" s="90" t="str">
        <f>REPLACE(INDEX(GroupVertices[Group],MATCH("~"&amp;Edges[[#This Row],[Vertex 1]],GroupVertices[Vertex],0)),1,1,"")</f>
        <v>2</v>
      </c>
      <c r="P19" s="90" t="str">
        <f>REPLACE(INDEX(GroupVertices[Group],MATCH("~"&amp;Edges[[#This Row],[Vertex 2]],GroupVertices[Vertex],0)),1,1,"")</f>
        <v>2</v>
      </c>
    </row>
    <row r="20" spans="1:16" ht="45">
      <c r="A20" s="46" t="s">
        <v>253</v>
      </c>
      <c r="B20" s="46" t="s">
        <v>278</v>
      </c>
      <c r="C20" s="49" t="s">
        <v>398</v>
      </c>
      <c r="D20" s="50">
        <v>3</v>
      </c>
      <c r="E20" s="61"/>
      <c r="F20" s="51">
        <v>80</v>
      </c>
      <c r="G20" s="49"/>
      <c r="H20" s="53"/>
      <c r="I20" s="52"/>
      <c r="J20" s="52"/>
      <c r="K20" s="63"/>
      <c r="L20" s="83">
        <v>20</v>
      </c>
      <c r="M20" s="83"/>
      <c r="N20" s="86">
        <v>3</v>
      </c>
      <c r="O20" s="90" t="str">
        <f>REPLACE(INDEX(GroupVertices[Group],MATCH("~"&amp;Edges[[#This Row],[Vertex 1]],GroupVertices[Vertex],0)),1,1,"")</f>
        <v>2</v>
      </c>
      <c r="P20" s="90" t="str">
        <f>REPLACE(INDEX(GroupVertices[Group],MATCH("~"&amp;Edges[[#This Row],[Vertex 2]],GroupVertices[Vertex],0)),1,1,"")</f>
        <v>2</v>
      </c>
    </row>
    <row r="21" spans="1:16" ht="45">
      <c r="A21" s="46" t="s">
        <v>254</v>
      </c>
      <c r="B21" s="46" t="s">
        <v>256</v>
      </c>
      <c r="C21" s="49" t="s">
        <v>398</v>
      </c>
      <c r="D21" s="50">
        <v>3</v>
      </c>
      <c r="E21" s="61"/>
      <c r="F21" s="51">
        <v>80</v>
      </c>
      <c r="G21" s="49"/>
      <c r="H21" s="53"/>
      <c r="I21" s="52"/>
      <c r="J21" s="52"/>
      <c r="K21" s="63"/>
      <c r="L21" s="83">
        <v>21</v>
      </c>
      <c r="M21" s="83"/>
      <c r="N21" s="86">
        <v>1</v>
      </c>
      <c r="O21" s="90" t="str">
        <f>REPLACE(INDEX(GroupVertices[Group],MATCH("~"&amp;Edges[[#This Row],[Vertex 1]],GroupVertices[Vertex],0)),1,1,"")</f>
        <v>1</v>
      </c>
      <c r="P21" s="90" t="str">
        <f>REPLACE(INDEX(GroupVertices[Group],MATCH("~"&amp;Edges[[#This Row],[Vertex 2]],GroupVertices[Vertex],0)),1,1,"")</f>
        <v>1</v>
      </c>
    </row>
    <row r="22" spans="1:16" ht="45">
      <c r="A22" s="46" t="s">
        <v>255</v>
      </c>
      <c r="B22" s="46" t="s">
        <v>257</v>
      </c>
      <c r="C22" s="49" t="s">
        <v>402</v>
      </c>
      <c r="D22" s="50">
        <v>4.4</v>
      </c>
      <c r="E22" s="61"/>
      <c r="F22" s="51">
        <v>72</v>
      </c>
      <c r="G22" s="49"/>
      <c r="H22" s="53"/>
      <c r="I22" s="52"/>
      <c r="J22" s="52"/>
      <c r="K22" s="63"/>
      <c r="L22" s="83">
        <v>22</v>
      </c>
      <c r="M22" s="83"/>
      <c r="N22" s="86">
        <v>4</v>
      </c>
      <c r="O22" s="90" t="str">
        <f>REPLACE(INDEX(GroupVertices[Group],MATCH("~"&amp;Edges[[#This Row],[Vertex 1]],GroupVertices[Vertex],0)),1,1,"")</f>
        <v>3</v>
      </c>
      <c r="P22" s="90" t="str">
        <f>REPLACE(INDEX(GroupVertices[Group],MATCH("~"&amp;Edges[[#This Row],[Vertex 2]],GroupVertices[Vertex],0)),1,1,"")</f>
        <v>2</v>
      </c>
    </row>
    <row r="23" spans="1:16" ht="45">
      <c r="A23" s="46" t="s">
        <v>255</v>
      </c>
      <c r="B23" s="46" t="s">
        <v>262</v>
      </c>
      <c r="C23" s="49" t="s">
        <v>398</v>
      </c>
      <c r="D23" s="50">
        <v>3</v>
      </c>
      <c r="E23" s="61"/>
      <c r="F23" s="51">
        <v>80</v>
      </c>
      <c r="G23" s="49"/>
      <c r="H23" s="53"/>
      <c r="I23" s="52"/>
      <c r="J23" s="52"/>
      <c r="K23" s="63"/>
      <c r="L23" s="83">
        <v>23</v>
      </c>
      <c r="M23" s="83"/>
      <c r="N23" s="86">
        <v>2</v>
      </c>
      <c r="O23" s="90" t="str">
        <f>REPLACE(INDEX(GroupVertices[Group],MATCH("~"&amp;Edges[[#This Row],[Vertex 1]],GroupVertices[Vertex],0)),1,1,"")</f>
        <v>3</v>
      </c>
      <c r="P23" s="90" t="str">
        <f>REPLACE(INDEX(GroupVertices[Group],MATCH("~"&amp;Edges[[#This Row],[Vertex 2]],GroupVertices[Vertex],0)),1,1,"")</f>
        <v>4</v>
      </c>
    </row>
    <row r="24" spans="1:16" ht="15">
      <c r="A24" s="46" t="s">
        <v>255</v>
      </c>
      <c r="B24" s="46" t="s">
        <v>273</v>
      </c>
      <c r="C24" s="49" t="s">
        <v>401</v>
      </c>
      <c r="D24" s="50">
        <v>10</v>
      </c>
      <c r="E24" s="61"/>
      <c r="F24" s="51">
        <v>40</v>
      </c>
      <c r="G24" s="49"/>
      <c r="H24" s="53"/>
      <c r="I24" s="52"/>
      <c r="J24" s="52"/>
      <c r="K24" s="63"/>
      <c r="L24" s="83">
        <v>24</v>
      </c>
      <c r="M24" s="83"/>
      <c r="N24" s="86">
        <v>8</v>
      </c>
      <c r="O24" s="90" t="str">
        <f>REPLACE(INDEX(GroupVertices[Group],MATCH("~"&amp;Edges[[#This Row],[Vertex 1]],GroupVertices[Vertex],0)),1,1,"")</f>
        <v>3</v>
      </c>
      <c r="P24" s="90" t="str">
        <f>REPLACE(INDEX(GroupVertices[Group],MATCH("~"&amp;Edges[[#This Row],[Vertex 2]],GroupVertices[Vertex],0)),1,1,"")</f>
        <v>3</v>
      </c>
    </row>
    <row r="25" spans="1:16" ht="45">
      <c r="A25" s="46" t="s">
        <v>256</v>
      </c>
      <c r="B25" s="46" t="s">
        <v>258</v>
      </c>
      <c r="C25" s="49" t="s">
        <v>402</v>
      </c>
      <c r="D25" s="50">
        <v>4.4</v>
      </c>
      <c r="E25" s="61"/>
      <c r="F25" s="51">
        <v>72</v>
      </c>
      <c r="G25" s="49"/>
      <c r="H25" s="53"/>
      <c r="I25" s="52"/>
      <c r="J25" s="52"/>
      <c r="K25" s="63"/>
      <c r="L25" s="83">
        <v>25</v>
      </c>
      <c r="M25" s="83"/>
      <c r="N25" s="86">
        <v>4</v>
      </c>
      <c r="O25" s="90" t="str">
        <f>REPLACE(INDEX(GroupVertices[Group],MATCH("~"&amp;Edges[[#This Row],[Vertex 1]],GroupVertices[Vertex],0)),1,1,"")</f>
        <v>1</v>
      </c>
      <c r="P25" s="90" t="str">
        <f>REPLACE(INDEX(GroupVertices[Group],MATCH("~"&amp;Edges[[#This Row],[Vertex 2]],GroupVertices[Vertex],0)),1,1,"")</f>
        <v>1</v>
      </c>
    </row>
    <row r="26" spans="1:16" ht="45">
      <c r="A26" s="46" t="s">
        <v>256</v>
      </c>
      <c r="B26" s="46" t="s">
        <v>272</v>
      </c>
      <c r="C26" s="49" t="s">
        <v>398</v>
      </c>
      <c r="D26" s="50">
        <v>3</v>
      </c>
      <c r="E26" s="61"/>
      <c r="F26" s="51">
        <v>80</v>
      </c>
      <c r="G26" s="49"/>
      <c r="H26" s="53"/>
      <c r="I26" s="52"/>
      <c r="J26" s="52"/>
      <c r="K26" s="63"/>
      <c r="L26" s="83">
        <v>26</v>
      </c>
      <c r="M26" s="83"/>
      <c r="N26" s="86">
        <v>2</v>
      </c>
      <c r="O26" s="90" t="str">
        <f>REPLACE(INDEX(GroupVertices[Group],MATCH("~"&amp;Edges[[#This Row],[Vertex 1]],GroupVertices[Vertex],0)),1,1,"")</f>
        <v>1</v>
      </c>
      <c r="P26" s="90" t="str">
        <f>REPLACE(INDEX(GroupVertices[Group],MATCH("~"&amp;Edges[[#This Row],[Vertex 2]],GroupVertices[Vertex],0)),1,1,"")</f>
        <v>1</v>
      </c>
    </row>
    <row r="27" spans="1:16" ht="30">
      <c r="A27" s="46" t="s">
        <v>257</v>
      </c>
      <c r="B27" s="46" t="s">
        <v>261</v>
      </c>
      <c r="C27" s="49" t="s">
        <v>403</v>
      </c>
      <c r="D27" s="50">
        <v>7.2</v>
      </c>
      <c r="E27" s="61"/>
      <c r="F27" s="51">
        <v>56</v>
      </c>
      <c r="G27" s="49"/>
      <c r="H27" s="53"/>
      <c r="I27" s="52"/>
      <c r="J27" s="52"/>
      <c r="K27" s="63"/>
      <c r="L27" s="83">
        <v>27</v>
      </c>
      <c r="M27" s="83"/>
      <c r="N27" s="86">
        <v>6</v>
      </c>
      <c r="O27" s="90" t="str">
        <f>REPLACE(INDEX(GroupVertices[Group],MATCH("~"&amp;Edges[[#This Row],[Vertex 1]],GroupVertices[Vertex],0)),1,1,"")</f>
        <v>2</v>
      </c>
      <c r="P27" s="90" t="str">
        <f>REPLACE(INDEX(GroupVertices[Group],MATCH("~"&amp;Edges[[#This Row],[Vertex 2]],GroupVertices[Vertex],0)),1,1,"")</f>
        <v>2</v>
      </c>
    </row>
    <row r="28" spans="1:16" ht="30">
      <c r="A28" s="46" t="s">
        <v>257</v>
      </c>
      <c r="B28" s="46" t="s">
        <v>278</v>
      </c>
      <c r="C28" s="49" t="s">
        <v>403</v>
      </c>
      <c r="D28" s="50">
        <v>7.2</v>
      </c>
      <c r="E28" s="61"/>
      <c r="F28" s="51">
        <v>56</v>
      </c>
      <c r="G28" s="49"/>
      <c r="H28" s="53"/>
      <c r="I28" s="52"/>
      <c r="J28" s="52"/>
      <c r="K28" s="63"/>
      <c r="L28" s="83">
        <v>28</v>
      </c>
      <c r="M28" s="83"/>
      <c r="N28" s="86">
        <v>6</v>
      </c>
      <c r="O28" s="90" t="str">
        <f>REPLACE(INDEX(GroupVertices[Group],MATCH("~"&amp;Edges[[#This Row],[Vertex 1]],GroupVertices[Vertex],0)),1,1,"")</f>
        <v>2</v>
      </c>
      <c r="P28" s="90" t="str">
        <f>REPLACE(INDEX(GroupVertices[Group],MATCH("~"&amp;Edges[[#This Row],[Vertex 2]],GroupVertices[Vertex],0)),1,1,"")</f>
        <v>2</v>
      </c>
    </row>
    <row r="29" spans="1:16" ht="15">
      <c r="A29" s="46" t="s">
        <v>258</v>
      </c>
      <c r="B29" s="46" t="s">
        <v>264</v>
      </c>
      <c r="C29" s="49" t="s">
        <v>401</v>
      </c>
      <c r="D29" s="50">
        <v>10</v>
      </c>
      <c r="E29" s="61"/>
      <c r="F29" s="51">
        <v>40</v>
      </c>
      <c r="G29" s="49"/>
      <c r="H29" s="53"/>
      <c r="I29" s="52"/>
      <c r="J29" s="52"/>
      <c r="K29" s="63"/>
      <c r="L29" s="83">
        <v>29</v>
      </c>
      <c r="M29" s="83"/>
      <c r="N29" s="86">
        <v>10</v>
      </c>
      <c r="O29" s="90" t="str">
        <f>REPLACE(INDEX(GroupVertices[Group],MATCH("~"&amp;Edges[[#This Row],[Vertex 1]],GroupVertices[Vertex],0)),1,1,"")</f>
        <v>1</v>
      </c>
      <c r="P29" s="90" t="str">
        <f>REPLACE(INDEX(GroupVertices[Group],MATCH("~"&amp;Edges[[#This Row],[Vertex 2]],GroupVertices[Vertex],0)),1,1,"")</f>
        <v>1</v>
      </c>
    </row>
    <row r="30" spans="1:16" ht="45">
      <c r="A30" s="46" t="s">
        <v>259</v>
      </c>
      <c r="B30" s="46" t="s">
        <v>267</v>
      </c>
      <c r="C30" s="49" t="s">
        <v>402</v>
      </c>
      <c r="D30" s="50">
        <v>4.4</v>
      </c>
      <c r="E30" s="61"/>
      <c r="F30" s="51">
        <v>72</v>
      </c>
      <c r="G30" s="49"/>
      <c r="H30" s="53"/>
      <c r="I30" s="52"/>
      <c r="J30" s="52"/>
      <c r="K30" s="63"/>
      <c r="L30" s="83">
        <v>30</v>
      </c>
      <c r="M30" s="83"/>
      <c r="N30" s="86">
        <v>4</v>
      </c>
      <c r="O30" s="90" t="str">
        <f>REPLACE(INDEX(GroupVertices[Group],MATCH("~"&amp;Edges[[#This Row],[Vertex 1]],GroupVertices[Vertex],0)),1,1,"")</f>
        <v>5</v>
      </c>
      <c r="P30" s="90" t="str">
        <f>REPLACE(INDEX(GroupVertices[Group],MATCH("~"&amp;Edges[[#This Row],[Vertex 2]],GroupVertices[Vertex],0)),1,1,"")</f>
        <v>5</v>
      </c>
    </row>
    <row r="31" spans="1:16" ht="30">
      <c r="A31" s="46" t="s">
        <v>259</v>
      </c>
      <c r="B31" s="46" t="s">
        <v>271</v>
      </c>
      <c r="C31" s="49" t="s">
        <v>403</v>
      </c>
      <c r="D31" s="50">
        <v>7.2</v>
      </c>
      <c r="E31" s="61"/>
      <c r="F31" s="51">
        <v>56</v>
      </c>
      <c r="G31" s="49"/>
      <c r="H31" s="53"/>
      <c r="I31" s="52"/>
      <c r="J31" s="52"/>
      <c r="K31" s="63"/>
      <c r="L31" s="83">
        <v>31</v>
      </c>
      <c r="M31" s="83"/>
      <c r="N31" s="86">
        <v>6</v>
      </c>
      <c r="O31" s="90" t="str">
        <f>REPLACE(INDEX(GroupVertices[Group],MATCH("~"&amp;Edges[[#This Row],[Vertex 1]],GroupVertices[Vertex],0)),1,1,"")</f>
        <v>5</v>
      </c>
      <c r="P31" s="90" t="str">
        <f>REPLACE(INDEX(GroupVertices[Group],MATCH("~"&amp;Edges[[#This Row],[Vertex 2]],GroupVertices[Vertex],0)),1,1,"")</f>
        <v>5</v>
      </c>
    </row>
    <row r="32" spans="1:16" ht="45">
      <c r="A32" s="46" t="s">
        <v>260</v>
      </c>
      <c r="B32" s="46" t="s">
        <v>266</v>
      </c>
      <c r="C32" s="49" t="s">
        <v>398</v>
      </c>
      <c r="D32" s="50">
        <v>3</v>
      </c>
      <c r="E32" s="61"/>
      <c r="F32" s="51">
        <v>80</v>
      </c>
      <c r="G32" s="49"/>
      <c r="H32" s="53"/>
      <c r="I32" s="52"/>
      <c r="J32" s="52"/>
      <c r="K32" s="63"/>
      <c r="L32" s="83">
        <v>32</v>
      </c>
      <c r="M32" s="83"/>
      <c r="N32" s="86">
        <v>2</v>
      </c>
      <c r="O32" s="90" t="str">
        <f>REPLACE(INDEX(GroupVertices[Group],MATCH("~"&amp;Edges[[#This Row],[Vertex 1]],GroupVertices[Vertex],0)),1,1,"")</f>
        <v>3</v>
      </c>
      <c r="P32" s="90" t="str">
        <f>REPLACE(INDEX(GroupVertices[Group],MATCH("~"&amp;Edges[[#This Row],[Vertex 2]],GroupVertices[Vertex],0)),1,1,"")</f>
        <v>3</v>
      </c>
    </row>
    <row r="33" spans="1:16" ht="15">
      <c r="A33" s="46" t="s">
        <v>261</v>
      </c>
      <c r="B33" s="46" t="s">
        <v>267</v>
      </c>
      <c r="C33" s="49" t="s">
        <v>401</v>
      </c>
      <c r="D33" s="50">
        <v>10</v>
      </c>
      <c r="E33" s="61"/>
      <c r="F33" s="51">
        <v>40</v>
      </c>
      <c r="G33" s="49"/>
      <c r="H33" s="53"/>
      <c r="I33" s="52"/>
      <c r="J33" s="52"/>
      <c r="K33" s="63"/>
      <c r="L33" s="83">
        <v>33</v>
      </c>
      <c r="M33" s="83"/>
      <c r="N33" s="86">
        <v>10</v>
      </c>
      <c r="O33" s="90" t="str">
        <f>REPLACE(INDEX(GroupVertices[Group],MATCH("~"&amp;Edges[[#This Row],[Vertex 1]],GroupVertices[Vertex],0)),1,1,"")</f>
        <v>2</v>
      </c>
      <c r="P33" s="90" t="str">
        <f>REPLACE(INDEX(GroupVertices[Group],MATCH("~"&amp;Edges[[#This Row],[Vertex 2]],GroupVertices[Vertex],0)),1,1,"")</f>
        <v>5</v>
      </c>
    </row>
    <row r="34" spans="1:16" ht="45">
      <c r="A34" s="46" t="s">
        <v>261</v>
      </c>
      <c r="B34" s="46" t="s">
        <v>270</v>
      </c>
      <c r="C34" s="49" t="s">
        <v>398</v>
      </c>
      <c r="D34" s="50">
        <v>3</v>
      </c>
      <c r="E34" s="61"/>
      <c r="F34" s="51">
        <v>80</v>
      </c>
      <c r="G34" s="49"/>
      <c r="H34" s="53"/>
      <c r="I34" s="52"/>
      <c r="J34" s="52"/>
      <c r="K34" s="63"/>
      <c r="L34" s="83">
        <v>34</v>
      </c>
      <c r="M34" s="83"/>
      <c r="N34" s="86">
        <v>2</v>
      </c>
      <c r="O34" s="90" t="str">
        <f>REPLACE(INDEX(GroupVertices[Group],MATCH("~"&amp;Edges[[#This Row],[Vertex 1]],GroupVertices[Vertex],0)),1,1,"")</f>
        <v>2</v>
      </c>
      <c r="P34" s="90" t="str">
        <f>REPLACE(INDEX(GroupVertices[Group],MATCH("~"&amp;Edges[[#This Row],[Vertex 2]],GroupVertices[Vertex],0)),1,1,"")</f>
        <v>2</v>
      </c>
    </row>
    <row r="35" spans="1:16" ht="15">
      <c r="A35" s="46" t="s">
        <v>261</v>
      </c>
      <c r="B35" s="46" t="s">
        <v>277</v>
      </c>
      <c r="C35" s="49" t="s">
        <v>401</v>
      </c>
      <c r="D35" s="50">
        <v>10</v>
      </c>
      <c r="E35" s="61"/>
      <c r="F35" s="51">
        <v>40</v>
      </c>
      <c r="G35" s="49"/>
      <c r="H35" s="53"/>
      <c r="I35" s="52"/>
      <c r="J35" s="52"/>
      <c r="K35" s="63"/>
      <c r="L35" s="83">
        <v>35</v>
      </c>
      <c r="M35" s="83"/>
      <c r="N35" s="86">
        <v>10</v>
      </c>
      <c r="O35" s="90" t="str">
        <f>REPLACE(INDEX(GroupVertices[Group],MATCH("~"&amp;Edges[[#This Row],[Vertex 1]],GroupVertices[Vertex],0)),1,1,"")</f>
        <v>2</v>
      </c>
      <c r="P35" s="90" t="str">
        <f>REPLACE(INDEX(GroupVertices[Group],MATCH("~"&amp;Edges[[#This Row],[Vertex 2]],GroupVertices[Vertex],0)),1,1,"")</f>
        <v>1</v>
      </c>
    </row>
    <row r="36" spans="1:16" ht="45">
      <c r="A36" s="46" t="s">
        <v>261</v>
      </c>
      <c r="B36" s="46" t="s">
        <v>278</v>
      </c>
      <c r="C36" s="49" t="s">
        <v>402</v>
      </c>
      <c r="D36" s="50">
        <v>4.4</v>
      </c>
      <c r="E36" s="61"/>
      <c r="F36" s="51">
        <v>72</v>
      </c>
      <c r="G36" s="49"/>
      <c r="H36" s="53"/>
      <c r="I36" s="52"/>
      <c r="J36" s="52"/>
      <c r="K36" s="63"/>
      <c r="L36" s="83">
        <v>36</v>
      </c>
      <c r="M36" s="83"/>
      <c r="N36" s="86">
        <v>4</v>
      </c>
      <c r="O36" s="90" t="str">
        <f>REPLACE(INDEX(GroupVertices[Group],MATCH("~"&amp;Edges[[#This Row],[Vertex 1]],GroupVertices[Vertex],0)),1,1,"")</f>
        <v>2</v>
      </c>
      <c r="P36" s="90" t="str">
        <f>REPLACE(INDEX(GroupVertices[Group],MATCH("~"&amp;Edges[[#This Row],[Vertex 2]],GroupVertices[Vertex],0)),1,1,"")</f>
        <v>2</v>
      </c>
    </row>
    <row r="37" spans="1:16" ht="15">
      <c r="A37" s="46" t="s">
        <v>263</v>
      </c>
      <c r="B37" s="46" t="s">
        <v>273</v>
      </c>
      <c r="C37" s="49" t="s">
        <v>401</v>
      </c>
      <c r="D37" s="50">
        <v>10</v>
      </c>
      <c r="E37" s="61"/>
      <c r="F37" s="51">
        <v>40</v>
      </c>
      <c r="G37" s="49"/>
      <c r="H37" s="53"/>
      <c r="I37" s="52"/>
      <c r="J37" s="52"/>
      <c r="K37" s="63"/>
      <c r="L37" s="83">
        <v>37</v>
      </c>
      <c r="M37" s="83"/>
      <c r="N37" s="86">
        <v>8</v>
      </c>
      <c r="O37" s="90" t="str">
        <f>REPLACE(INDEX(GroupVertices[Group],MATCH("~"&amp;Edges[[#This Row],[Vertex 1]],GroupVertices[Vertex],0)),1,1,"")</f>
        <v>3</v>
      </c>
      <c r="P37" s="90" t="str">
        <f>REPLACE(INDEX(GroupVertices[Group],MATCH("~"&amp;Edges[[#This Row],[Vertex 2]],GroupVertices[Vertex],0)),1,1,"")</f>
        <v>3</v>
      </c>
    </row>
    <row r="38" spans="1:16" ht="30">
      <c r="A38" s="46" t="s">
        <v>264</v>
      </c>
      <c r="B38" s="46" t="s">
        <v>277</v>
      </c>
      <c r="C38" s="49" t="s">
        <v>399</v>
      </c>
      <c r="D38" s="50">
        <v>8.6</v>
      </c>
      <c r="E38" s="61"/>
      <c r="F38" s="51">
        <v>48</v>
      </c>
      <c r="G38" s="49"/>
      <c r="H38" s="53"/>
      <c r="I38" s="52"/>
      <c r="J38" s="52"/>
      <c r="K38" s="63"/>
      <c r="L38" s="83">
        <v>38</v>
      </c>
      <c r="M38" s="83"/>
      <c r="N38" s="86">
        <v>7</v>
      </c>
      <c r="O38" s="90" t="str">
        <f>REPLACE(INDEX(GroupVertices[Group],MATCH("~"&amp;Edges[[#This Row],[Vertex 1]],GroupVertices[Vertex],0)),1,1,"")</f>
        <v>1</v>
      </c>
      <c r="P38" s="90" t="str">
        <f>REPLACE(INDEX(GroupVertices[Group],MATCH("~"&amp;Edges[[#This Row],[Vertex 2]],GroupVertices[Vertex],0)),1,1,"")</f>
        <v>1</v>
      </c>
    </row>
    <row r="39" spans="1:16" ht="15">
      <c r="A39" s="46" t="s">
        <v>266</v>
      </c>
      <c r="B39" s="46" t="s">
        <v>278</v>
      </c>
      <c r="C39" s="49" t="s">
        <v>401</v>
      </c>
      <c r="D39" s="50">
        <v>10</v>
      </c>
      <c r="E39" s="61"/>
      <c r="F39" s="51">
        <v>40</v>
      </c>
      <c r="G39" s="49"/>
      <c r="H39" s="53"/>
      <c r="I39" s="52"/>
      <c r="J39" s="52"/>
      <c r="K39" s="63"/>
      <c r="L39" s="83">
        <v>39</v>
      </c>
      <c r="M39" s="83"/>
      <c r="N39" s="86">
        <v>9</v>
      </c>
      <c r="O39" s="90" t="str">
        <f>REPLACE(INDEX(GroupVertices[Group],MATCH("~"&amp;Edges[[#This Row],[Vertex 1]],GroupVertices[Vertex],0)),1,1,"")</f>
        <v>3</v>
      </c>
      <c r="P39" s="90" t="str">
        <f>REPLACE(INDEX(GroupVertices[Group],MATCH("~"&amp;Edges[[#This Row],[Vertex 2]],GroupVertices[Vertex],0)),1,1,"")</f>
        <v>2</v>
      </c>
    </row>
    <row r="40" spans="1:16" ht="15">
      <c r="A40" s="46" t="s">
        <v>267</v>
      </c>
      <c r="B40" s="46" t="s">
        <v>274</v>
      </c>
      <c r="C40" s="49" t="s">
        <v>401</v>
      </c>
      <c r="D40" s="50">
        <v>10</v>
      </c>
      <c r="E40" s="61"/>
      <c r="F40" s="51">
        <v>40</v>
      </c>
      <c r="G40" s="49"/>
      <c r="H40" s="53"/>
      <c r="I40" s="52"/>
      <c r="J40" s="52"/>
      <c r="K40" s="63"/>
      <c r="L40" s="83">
        <v>40</v>
      </c>
      <c r="M40" s="83"/>
      <c r="N40" s="86">
        <v>8</v>
      </c>
      <c r="O40" s="90" t="str">
        <f>REPLACE(INDEX(GroupVertices[Group],MATCH("~"&amp;Edges[[#This Row],[Vertex 1]],GroupVertices[Vertex],0)),1,1,"")</f>
        <v>5</v>
      </c>
      <c r="P40" s="90" t="str">
        <f>REPLACE(INDEX(GroupVertices[Group],MATCH("~"&amp;Edges[[#This Row],[Vertex 2]],GroupVertices[Vertex],0)),1,1,"")</f>
        <v>1</v>
      </c>
    </row>
    <row r="41" spans="1:16" ht="45">
      <c r="A41" s="46" t="s">
        <v>269</v>
      </c>
      <c r="B41" s="46" t="s">
        <v>274</v>
      </c>
      <c r="C41" s="49" t="s">
        <v>400</v>
      </c>
      <c r="D41" s="50">
        <v>5.8</v>
      </c>
      <c r="E41" s="61"/>
      <c r="F41" s="51">
        <v>64</v>
      </c>
      <c r="G41" s="49"/>
      <c r="H41" s="53"/>
      <c r="I41" s="52"/>
      <c r="J41" s="52"/>
      <c r="K41" s="63"/>
      <c r="L41" s="83">
        <v>41</v>
      </c>
      <c r="M41" s="83"/>
      <c r="N41" s="86">
        <v>5</v>
      </c>
      <c r="O41" s="90" t="str">
        <f>REPLACE(INDEX(GroupVertices[Group],MATCH("~"&amp;Edges[[#This Row],[Vertex 1]],GroupVertices[Vertex],0)),1,1,"")</f>
        <v>1</v>
      </c>
      <c r="P41" s="90" t="str">
        <f>REPLACE(INDEX(GroupVertices[Group],MATCH("~"&amp;Edges[[#This Row],[Vertex 2]],GroupVertices[Vertex],0)),1,1,"")</f>
        <v>1</v>
      </c>
    </row>
    <row r="42" spans="1:16" ht="45">
      <c r="A42" s="46" t="s">
        <v>270</v>
      </c>
      <c r="B42" s="46" t="s">
        <v>278</v>
      </c>
      <c r="C42" s="49" t="s">
        <v>398</v>
      </c>
      <c r="D42" s="50">
        <v>3</v>
      </c>
      <c r="E42" s="61"/>
      <c r="F42" s="51">
        <v>80</v>
      </c>
      <c r="G42" s="49"/>
      <c r="H42" s="53"/>
      <c r="I42" s="52"/>
      <c r="J42" s="52"/>
      <c r="K42" s="63"/>
      <c r="L42" s="83">
        <v>42</v>
      </c>
      <c r="M42" s="83"/>
      <c r="N42" s="86">
        <v>2</v>
      </c>
      <c r="O42" s="90" t="str">
        <f>REPLACE(INDEX(GroupVertices[Group],MATCH("~"&amp;Edges[[#This Row],[Vertex 1]],GroupVertices[Vertex],0)),1,1,"")</f>
        <v>2</v>
      </c>
      <c r="P42" s="90" t="str">
        <f>REPLACE(INDEX(GroupVertices[Group],MATCH("~"&amp;Edges[[#This Row],[Vertex 2]],GroupVertices[Vertex],0)),1,1,"")</f>
        <v>2</v>
      </c>
    </row>
    <row r="43" spans="1:16" ht="45">
      <c r="A43" s="46" t="s">
        <v>272</v>
      </c>
      <c r="B43" s="46" t="s">
        <v>274</v>
      </c>
      <c r="C43" s="49" t="s">
        <v>400</v>
      </c>
      <c r="D43" s="50">
        <v>5.8</v>
      </c>
      <c r="E43" s="61"/>
      <c r="F43" s="51">
        <v>64</v>
      </c>
      <c r="G43" s="49"/>
      <c r="H43" s="53"/>
      <c r="I43" s="52"/>
      <c r="J43" s="52"/>
      <c r="K43" s="63"/>
      <c r="L43" s="83">
        <v>43</v>
      </c>
      <c r="M43" s="83"/>
      <c r="N43" s="86">
        <v>5</v>
      </c>
      <c r="O43" s="90" t="str">
        <f>REPLACE(INDEX(GroupVertices[Group],MATCH("~"&amp;Edges[[#This Row],[Vertex 1]],GroupVertices[Vertex],0)),1,1,"")</f>
        <v>1</v>
      </c>
      <c r="P43" s="90" t="str">
        <f>REPLACE(INDEX(GroupVertices[Group],MATCH("~"&amp;Edges[[#This Row],[Vertex 2]],GroupVertices[Vertex],0)),1,1,"")</f>
        <v>1</v>
      </c>
    </row>
    <row r="44" spans="1:16" ht="15">
      <c r="A44" s="46" t="s">
        <v>272</v>
      </c>
      <c r="B44" s="46" t="s">
        <v>278</v>
      </c>
      <c r="C44" s="49" t="s">
        <v>401</v>
      </c>
      <c r="D44" s="50">
        <v>10</v>
      </c>
      <c r="E44" s="61"/>
      <c r="F44" s="51">
        <v>40</v>
      </c>
      <c r="G44" s="49"/>
      <c r="H44" s="53"/>
      <c r="I44" s="52"/>
      <c r="J44" s="52"/>
      <c r="K44" s="63"/>
      <c r="L44" s="83">
        <v>44</v>
      </c>
      <c r="M44" s="83"/>
      <c r="N44" s="86">
        <v>8</v>
      </c>
      <c r="O44" s="90" t="str">
        <f>REPLACE(INDEX(GroupVertices[Group],MATCH("~"&amp;Edges[[#This Row],[Vertex 1]],GroupVertices[Vertex],0)),1,1,"")</f>
        <v>1</v>
      </c>
      <c r="P44" s="90" t="str">
        <f>REPLACE(INDEX(GroupVertices[Group],MATCH("~"&amp;Edges[[#This Row],[Vertex 2]],GroupVertices[Vertex],0)),1,1,"")</f>
        <v>2</v>
      </c>
    </row>
    <row r="45" spans="1:16" ht="15">
      <c r="A45" s="46" t="s">
        <v>274</v>
      </c>
      <c r="B45" s="46" t="s">
        <v>277</v>
      </c>
      <c r="C45" s="49" t="s">
        <v>401</v>
      </c>
      <c r="D45" s="50">
        <v>10</v>
      </c>
      <c r="E45" s="61"/>
      <c r="F45" s="51">
        <v>40</v>
      </c>
      <c r="G45" s="49"/>
      <c r="H45" s="53"/>
      <c r="I45" s="52"/>
      <c r="J45" s="52"/>
      <c r="K45" s="63"/>
      <c r="L45" s="83">
        <v>45</v>
      </c>
      <c r="M45" s="83"/>
      <c r="N45" s="86">
        <v>10</v>
      </c>
      <c r="O45" s="90" t="str">
        <f>REPLACE(INDEX(GroupVertices[Group],MATCH("~"&amp;Edges[[#This Row],[Vertex 1]],GroupVertices[Vertex],0)),1,1,"")</f>
        <v>1</v>
      </c>
      <c r="P45" s="90" t="str">
        <f>REPLACE(INDEX(GroupVertices[Group],MATCH("~"&amp;Edges[[#This Row],[Vertex 2]],GroupVertices[Vertex],0)),1,1,"")</f>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ErrorMessage="1" sqref="N2:N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Color" prompt="To select an optional edge color, right-click and select Select Color on the right-click menu." sqref="C3:C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Opacity" prompt="Enter an optional edge opacity between 0 (transparent) and 100 (opaque)." errorTitle="Invalid Edge Opacity" error="The optional edge opacity must be a whole number between 0 and 10." sqref="F3:F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showErrorMessage="1" promptTitle="Vertex 1 Name" prompt="Enter the name of the edge's first vertex." sqref="A3:A45"/>
    <dataValidation allowBlank="1" showInputMessage="1" showErrorMessage="1" promptTitle="Vertex 2 Name" prompt="Enter the name of the edge's second vertex." sqref="B3:B45"/>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32"/>
  <sheetViews>
    <sheetView tabSelected="1" workbookViewId="0" topLeftCell="A1">
      <pane xSplit="1" ySplit="2" topLeftCell="B3" activePane="bottomRight" state="frozen"/>
      <selection pane="topRight" activeCell="B1" sqref="B1"/>
      <selection pane="bottomLeft" activeCell="A3" sqref="A3"/>
      <selection pane="bottomRight" activeCell="A1" sqref="A1"/>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4.28125" style="2" customWidth="1"/>
    <col min="31" max="31" width="15.140625" style="0" bestFit="1" customWidth="1"/>
    <col min="32"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31" ht="30" customHeight="1">
      <c r="A2" s="10" t="s">
        <v>5</v>
      </c>
      <c r="B2" s="7" t="s">
        <v>2</v>
      </c>
      <c r="C2" s="7" t="s">
        <v>8</v>
      </c>
      <c r="D2" s="8" t="s">
        <v>45</v>
      </c>
      <c r="E2" s="9" t="s">
        <v>4</v>
      </c>
      <c r="F2" s="7" t="s">
        <v>48</v>
      </c>
      <c r="G2" s="7" t="s">
        <v>11</v>
      </c>
      <c r="H2" s="7" t="s">
        <v>46</v>
      </c>
      <c r="I2" s="7" t="s">
        <v>47</v>
      </c>
      <c r="J2" s="7" t="s">
        <v>77</v>
      </c>
      <c r="K2" s="7" t="s">
        <v>10</v>
      </c>
      <c r="L2" s="7" t="s">
        <v>26</v>
      </c>
      <c r="M2" s="7" t="s">
        <v>15</v>
      </c>
      <c r="N2" s="7" t="s">
        <v>16</v>
      </c>
      <c r="O2" s="7" t="s">
        <v>13</v>
      </c>
      <c r="P2" s="7" t="s">
        <v>27</v>
      </c>
      <c r="Q2" s="7" t="s">
        <v>28</v>
      </c>
      <c r="R2" s="7" t="s">
        <v>31</v>
      </c>
      <c r="S2" s="7" t="s">
        <v>32</v>
      </c>
      <c r="T2" s="7" t="s">
        <v>33</v>
      </c>
      <c r="U2" s="7" t="s">
        <v>34</v>
      </c>
      <c r="V2" s="7" t="s">
        <v>35</v>
      </c>
      <c r="W2" s="7" t="s">
        <v>36</v>
      </c>
      <c r="X2" s="7" t="s">
        <v>137</v>
      </c>
      <c r="Y2" s="7" t="s">
        <v>37</v>
      </c>
      <c r="Z2" s="7" t="s">
        <v>170</v>
      </c>
      <c r="AA2" s="10" t="s">
        <v>12</v>
      </c>
      <c r="AB2" s="10" t="s">
        <v>38</v>
      </c>
      <c r="AC2" s="7" t="s">
        <v>279</v>
      </c>
      <c r="AD2" s="7" t="s">
        <v>282</v>
      </c>
      <c r="AE2" s="7" t="s">
        <v>365</v>
      </c>
    </row>
    <row r="3" spans="1:31" ht="15" customHeight="1">
      <c r="A3" s="75" t="s">
        <v>249</v>
      </c>
      <c r="B3" s="49"/>
      <c r="C3" s="12" t="s">
        <v>56</v>
      </c>
      <c r="D3" s="50">
        <v>1000</v>
      </c>
      <c r="E3" s="51"/>
      <c r="F3" s="49"/>
      <c r="G3" s="49"/>
      <c r="H3" s="53" t="s">
        <v>249</v>
      </c>
      <c r="I3" s="52"/>
      <c r="J3" s="52"/>
      <c r="K3" s="53"/>
      <c r="L3" s="55">
        <v>7491.5590418070915</v>
      </c>
      <c r="M3" s="56"/>
      <c r="N3" s="56"/>
      <c r="O3" s="54"/>
      <c r="P3" s="57"/>
      <c r="Q3" s="57"/>
      <c r="R3" s="47">
        <v>7</v>
      </c>
      <c r="S3" s="47"/>
      <c r="T3" s="47"/>
      <c r="U3" s="48">
        <v>196.516667</v>
      </c>
      <c r="V3" s="48">
        <v>0.405797</v>
      </c>
      <c r="W3" s="48">
        <v>0.346985</v>
      </c>
      <c r="X3" s="48">
        <v>0.043816</v>
      </c>
      <c r="Y3" s="48">
        <v>0.023809523809523808</v>
      </c>
      <c r="Z3" s="48">
        <v>0</v>
      </c>
      <c r="AA3" s="58">
        <v>3</v>
      </c>
      <c r="AB3" s="58"/>
      <c r="AC3" s="84" t="s">
        <v>280</v>
      </c>
      <c r="AD3" s="1">
        <v>0.2420155993431855</v>
      </c>
      <c r="AE3" s="90" t="str">
        <f>REPLACE(INDEX(GroupVertices[Group],MATCH("~"&amp;Vertices[[#This Row],[Vertex]],GroupVertices[Vertex],0)),1,1,"")</f>
        <v>4</v>
      </c>
    </row>
    <row r="4" spans="1:31" ht="15">
      <c r="A4" s="11" t="s">
        <v>251</v>
      </c>
      <c r="B4" s="12"/>
      <c r="C4" s="12" t="s">
        <v>56</v>
      </c>
      <c r="D4" s="76">
        <v>100</v>
      </c>
      <c r="E4" s="77"/>
      <c r="F4" s="12"/>
      <c r="G4" s="12"/>
      <c r="H4" s="13" t="s">
        <v>251</v>
      </c>
      <c r="I4" s="62"/>
      <c r="J4" s="62"/>
      <c r="K4" s="13"/>
      <c r="L4" s="78">
        <v>1</v>
      </c>
      <c r="M4" s="79"/>
      <c r="N4" s="79"/>
      <c r="O4" s="73"/>
      <c r="P4" s="80"/>
      <c r="Q4" s="80"/>
      <c r="R4" s="47">
        <v>2</v>
      </c>
      <c r="S4" s="81"/>
      <c r="T4" s="81"/>
      <c r="U4" s="48">
        <v>0</v>
      </c>
      <c r="V4" s="48">
        <v>0.301075</v>
      </c>
      <c r="W4" s="48">
        <v>0.131326</v>
      </c>
      <c r="X4" s="48">
        <v>0.031968</v>
      </c>
      <c r="Y4" s="48">
        <v>0.5</v>
      </c>
      <c r="Z4" s="48">
        <v>0</v>
      </c>
      <c r="AA4" s="82">
        <v>4</v>
      </c>
      <c r="AB4" s="82"/>
      <c r="AC4" s="84" t="s">
        <v>280</v>
      </c>
      <c r="AD4" s="1">
        <v>0</v>
      </c>
      <c r="AE4" s="90" t="str">
        <f>REPLACE(INDEX(GroupVertices[Group],MATCH("~"&amp;Vertices[[#This Row],[Vertex]],GroupVertices[Vertex],0)),1,1,"")</f>
        <v>4</v>
      </c>
    </row>
    <row r="5" spans="1:31" ht="15">
      <c r="A5" s="11" t="s">
        <v>253</v>
      </c>
      <c r="B5" s="12"/>
      <c r="C5" s="12" t="s">
        <v>56</v>
      </c>
      <c r="D5" s="76">
        <v>972.9601978739064</v>
      </c>
      <c r="E5" s="77"/>
      <c r="F5" s="12"/>
      <c r="G5" s="12"/>
      <c r="H5" s="13" t="s">
        <v>253</v>
      </c>
      <c r="I5" s="62"/>
      <c r="J5" s="62"/>
      <c r="K5" s="13"/>
      <c r="L5" s="78">
        <v>4041.3659931376287</v>
      </c>
      <c r="M5" s="79"/>
      <c r="N5" s="79"/>
      <c r="O5" s="73"/>
      <c r="P5" s="80"/>
      <c r="Q5" s="80"/>
      <c r="R5" s="47">
        <v>4</v>
      </c>
      <c r="S5" s="81"/>
      <c r="T5" s="81"/>
      <c r="U5" s="48">
        <v>106</v>
      </c>
      <c r="V5" s="48">
        <v>0.333333</v>
      </c>
      <c r="W5" s="48">
        <v>0.179027</v>
      </c>
      <c r="X5" s="48">
        <v>0.041166</v>
      </c>
      <c r="Y5" s="48">
        <v>0.08333333333333333</v>
      </c>
      <c r="Z5" s="48">
        <v>0</v>
      </c>
      <c r="AA5" s="82">
        <v>5</v>
      </c>
      <c r="AB5" s="82"/>
      <c r="AC5" s="84" t="s">
        <v>280</v>
      </c>
      <c r="AD5" s="1">
        <v>0.1305418719211823</v>
      </c>
      <c r="AE5" s="90" t="str">
        <f>REPLACE(INDEX(GroupVertices[Group],MATCH("~"&amp;Vertices[[#This Row],[Vertex]],GroupVertices[Vertex],0)),1,1,"")</f>
        <v>2</v>
      </c>
    </row>
    <row r="6" spans="1:31" ht="15">
      <c r="A6" s="11" t="s">
        <v>255</v>
      </c>
      <c r="B6" s="12"/>
      <c r="C6" s="12" t="s">
        <v>56</v>
      </c>
      <c r="D6" s="76">
        <v>497.7733731821668</v>
      </c>
      <c r="E6" s="77"/>
      <c r="F6" s="12"/>
      <c r="G6" s="12"/>
      <c r="H6" s="13" t="s">
        <v>255</v>
      </c>
      <c r="I6" s="62"/>
      <c r="J6" s="62"/>
      <c r="K6" s="13"/>
      <c r="L6" s="78">
        <v>1842.0346930995042</v>
      </c>
      <c r="M6" s="79"/>
      <c r="N6" s="79"/>
      <c r="O6" s="73"/>
      <c r="P6" s="80"/>
      <c r="Q6" s="80"/>
      <c r="R6" s="47">
        <v>3</v>
      </c>
      <c r="S6" s="81"/>
      <c r="T6" s="81"/>
      <c r="U6" s="48">
        <v>48.3</v>
      </c>
      <c r="V6" s="48">
        <v>0.345679</v>
      </c>
      <c r="W6" s="48">
        <v>0.151018</v>
      </c>
      <c r="X6" s="48">
        <v>0.034551</v>
      </c>
      <c r="Y6" s="48">
        <v>0</v>
      </c>
      <c r="Z6" s="48">
        <v>0</v>
      </c>
      <c r="AA6" s="82">
        <v>6</v>
      </c>
      <c r="AB6" s="82"/>
      <c r="AC6" s="84" t="s">
        <v>280</v>
      </c>
      <c r="AD6" s="1">
        <v>0.05948275862068965</v>
      </c>
      <c r="AE6" s="90" t="str">
        <f>REPLACE(INDEX(GroupVertices[Group],MATCH("~"&amp;Vertices[[#This Row],[Vertex]],GroupVertices[Vertex],0)),1,1,"")</f>
        <v>3</v>
      </c>
    </row>
    <row r="7" spans="1:31" ht="15">
      <c r="A7" s="11" t="s">
        <v>257</v>
      </c>
      <c r="B7" s="12"/>
      <c r="C7" s="12" t="s">
        <v>56</v>
      </c>
      <c r="D7" s="76">
        <v>1000</v>
      </c>
      <c r="E7" s="77"/>
      <c r="F7" s="12"/>
      <c r="G7" s="12"/>
      <c r="H7" s="13" t="s">
        <v>257</v>
      </c>
      <c r="I7" s="62"/>
      <c r="J7" s="62"/>
      <c r="K7" s="13"/>
      <c r="L7" s="78">
        <v>7620.520396492565</v>
      </c>
      <c r="M7" s="79"/>
      <c r="N7" s="79"/>
      <c r="O7" s="73"/>
      <c r="P7" s="80"/>
      <c r="Q7" s="80"/>
      <c r="R7" s="47">
        <v>5</v>
      </c>
      <c r="S7" s="81"/>
      <c r="T7" s="81"/>
      <c r="U7" s="48">
        <v>199.9</v>
      </c>
      <c r="V7" s="48">
        <v>0.459016</v>
      </c>
      <c r="W7" s="48">
        <v>0.364915</v>
      </c>
      <c r="X7" s="48">
        <v>0.035343</v>
      </c>
      <c r="Y7" s="48">
        <v>0.05</v>
      </c>
      <c r="Z7" s="48">
        <v>0</v>
      </c>
      <c r="AA7" s="82">
        <v>7</v>
      </c>
      <c r="AB7" s="82"/>
      <c r="AC7" s="84" t="s">
        <v>280</v>
      </c>
      <c r="AD7" s="1">
        <v>0.2461822660098522</v>
      </c>
      <c r="AE7" s="90" t="str">
        <f>REPLACE(INDEX(GroupVertices[Group],MATCH("~"&amp;Vertices[[#This Row],[Vertex]],GroupVertices[Vertex],0)),1,1,"")</f>
        <v>2</v>
      </c>
    </row>
    <row r="8" spans="1:31" ht="15">
      <c r="A8" s="11" t="s">
        <v>259</v>
      </c>
      <c r="B8" s="12"/>
      <c r="C8" s="12" t="s">
        <v>56</v>
      </c>
      <c r="D8" s="76">
        <v>610.5993610205867</v>
      </c>
      <c r="E8" s="77"/>
      <c r="F8" s="12"/>
      <c r="G8" s="12"/>
      <c r="H8" s="13" t="s">
        <v>259</v>
      </c>
      <c r="I8" s="62"/>
      <c r="J8" s="62"/>
      <c r="K8" s="13"/>
      <c r="L8" s="78">
        <v>2364.2329393823866</v>
      </c>
      <c r="M8" s="79"/>
      <c r="N8" s="79"/>
      <c r="O8" s="73"/>
      <c r="P8" s="80"/>
      <c r="Q8" s="80"/>
      <c r="R8" s="47">
        <v>3</v>
      </c>
      <c r="S8" s="81"/>
      <c r="T8" s="81"/>
      <c r="U8" s="48">
        <v>62</v>
      </c>
      <c r="V8" s="48">
        <v>0.325581</v>
      </c>
      <c r="W8" s="48">
        <v>0.146986</v>
      </c>
      <c r="X8" s="48">
        <v>0.036598</v>
      </c>
      <c r="Y8" s="48">
        <v>0</v>
      </c>
      <c r="Z8" s="48">
        <v>0</v>
      </c>
      <c r="AA8" s="82">
        <v>8</v>
      </c>
      <c r="AB8" s="82"/>
      <c r="AC8" s="84" t="s">
        <v>280</v>
      </c>
      <c r="AD8" s="1">
        <v>0.07635467980295567</v>
      </c>
      <c r="AE8" s="90" t="str">
        <f>REPLACE(INDEX(GroupVertices[Group],MATCH("~"&amp;Vertices[[#This Row],[Vertex]],GroupVertices[Vertex],0)),1,1,"")</f>
        <v>5</v>
      </c>
    </row>
    <row r="9" spans="1:31" ht="15">
      <c r="A9" s="11" t="s">
        <v>261</v>
      </c>
      <c r="B9" s="12"/>
      <c r="C9" s="12" t="s">
        <v>56</v>
      </c>
      <c r="D9" s="76">
        <v>880.0366072290274</v>
      </c>
      <c r="E9" s="77"/>
      <c r="F9" s="12"/>
      <c r="G9" s="12"/>
      <c r="H9" s="13" t="s">
        <v>261</v>
      </c>
      <c r="I9" s="62"/>
      <c r="J9" s="62"/>
      <c r="K9" s="13"/>
      <c r="L9" s="78">
        <v>3611.2830219824627</v>
      </c>
      <c r="M9" s="79"/>
      <c r="N9" s="79"/>
      <c r="O9" s="73"/>
      <c r="P9" s="80"/>
      <c r="Q9" s="80"/>
      <c r="R9" s="47">
        <v>5</v>
      </c>
      <c r="S9" s="81"/>
      <c r="T9" s="81"/>
      <c r="U9" s="48">
        <v>94.716667</v>
      </c>
      <c r="V9" s="48">
        <v>0.424242</v>
      </c>
      <c r="W9" s="48">
        <v>0.36407</v>
      </c>
      <c r="X9" s="48">
        <v>0.035963</v>
      </c>
      <c r="Y9" s="48">
        <v>0.1</v>
      </c>
      <c r="Z9" s="48">
        <v>0</v>
      </c>
      <c r="AA9" s="82">
        <v>9</v>
      </c>
      <c r="AB9" s="82"/>
      <c r="AC9" s="84" t="s">
        <v>280</v>
      </c>
      <c r="AD9" s="1">
        <v>0.1166461412151067</v>
      </c>
      <c r="AE9" s="90" t="str">
        <f>REPLACE(INDEX(GroupVertices[Group],MATCH("~"&amp;Vertices[[#This Row],[Vertex]],GroupVertices[Vertex],0)),1,1,"")</f>
        <v>2</v>
      </c>
    </row>
    <row r="10" spans="1:31" ht="15">
      <c r="A10" s="11" t="s">
        <v>263</v>
      </c>
      <c r="B10" s="12"/>
      <c r="C10" s="12" t="s">
        <v>56</v>
      </c>
      <c r="D10" s="76">
        <v>482.94952076544007</v>
      </c>
      <c r="E10" s="77"/>
      <c r="F10" s="12"/>
      <c r="G10" s="12"/>
      <c r="H10" s="13" t="s">
        <v>263</v>
      </c>
      <c r="I10" s="62"/>
      <c r="J10" s="62"/>
      <c r="K10" s="13"/>
      <c r="L10" s="78">
        <v>1773.42470453679</v>
      </c>
      <c r="M10" s="79"/>
      <c r="N10" s="79"/>
      <c r="O10" s="73"/>
      <c r="P10" s="80"/>
      <c r="Q10" s="80"/>
      <c r="R10" s="47">
        <v>3</v>
      </c>
      <c r="S10" s="81"/>
      <c r="T10" s="81"/>
      <c r="U10" s="48">
        <v>46.5</v>
      </c>
      <c r="V10" s="48">
        <v>0.318182</v>
      </c>
      <c r="W10" s="48">
        <v>0.075675</v>
      </c>
      <c r="X10" s="48">
        <v>0.035576</v>
      </c>
      <c r="Y10" s="48">
        <v>0</v>
      </c>
      <c r="Z10" s="48">
        <v>0</v>
      </c>
      <c r="AA10" s="82">
        <v>10</v>
      </c>
      <c r="AB10" s="82"/>
      <c r="AC10" s="84" t="s">
        <v>280</v>
      </c>
      <c r="AD10" s="1">
        <v>0.05726600985221674</v>
      </c>
      <c r="AE10" s="90" t="str">
        <f>REPLACE(INDEX(GroupVertices[Group],MATCH("~"&amp;Vertices[[#This Row],[Vertex]],GroupVertices[Vertex],0)),1,1,"")</f>
        <v>3</v>
      </c>
    </row>
    <row r="11" spans="1:31" ht="15">
      <c r="A11" s="11" t="s">
        <v>266</v>
      </c>
      <c r="B11" s="12"/>
      <c r="C11" s="12" t="s">
        <v>56</v>
      </c>
      <c r="D11" s="76">
        <v>800.0152530120947</v>
      </c>
      <c r="E11" s="77"/>
      <c r="F11" s="12"/>
      <c r="G11" s="12"/>
      <c r="H11" s="13" t="s">
        <v>266</v>
      </c>
      <c r="I11" s="62"/>
      <c r="J11" s="62"/>
      <c r="K11" s="13"/>
      <c r="L11" s="78">
        <v>3240.9161265726266</v>
      </c>
      <c r="M11" s="79"/>
      <c r="N11" s="79"/>
      <c r="O11" s="73"/>
      <c r="P11" s="80"/>
      <c r="Q11" s="80"/>
      <c r="R11" s="47">
        <v>3</v>
      </c>
      <c r="S11" s="81"/>
      <c r="T11" s="81"/>
      <c r="U11" s="48">
        <v>85</v>
      </c>
      <c r="V11" s="48">
        <v>0.341463</v>
      </c>
      <c r="W11" s="48">
        <v>0.115017</v>
      </c>
      <c r="X11" s="48">
        <v>0.037414</v>
      </c>
      <c r="Y11" s="48">
        <v>0</v>
      </c>
      <c r="Z11" s="48">
        <v>0</v>
      </c>
      <c r="AA11" s="82">
        <v>11</v>
      </c>
      <c r="AB11" s="82"/>
      <c r="AC11" s="84" t="s">
        <v>280</v>
      </c>
      <c r="AD11" s="1">
        <v>0.104679802955665</v>
      </c>
      <c r="AE11" s="90" t="str">
        <f>REPLACE(INDEX(GroupVertices[Group],MATCH("~"&amp;Vertices[[#This Row],[Vertex]],GroupVertices[Vertex],0)),1,1,"")</f>
        <v>3</v>
      </c>
    </row>
    <row r="12" spans="1:31" ht="15">
      <c r="A12" s="11" t="s">
        <v>267</v>
      </c>
      <c r="B12" s="12"/>
      <c r="C12" s="12" t="s">
        <v>56</v>
      </c>
      <c r="D12" s="76">
        <v>445.0663423671385</v>
      </c>
      <c r="E12" s="77"/>
      <c r="F12" s="12"/>
      <c r="G12" s="12"/>
      <c r="H12" s="13" t="s">
        <v>267</v>
      </c>
      <c r="I12" s="62"/>
      <c r="J12" s="62"/>
      <c r="K12" s="13"/>
      <c r="L12" s="78">
        <v>1598.088067098742</v>
      </c>
      <c r="M12" s="79"/>
      <c r="N12" s="79"/>
      <c r="O12" s="73"/>
      <c r="P12" s="80"/>
      <c r="Q12" s="80"/>
      <c r="R12" s="47">
        <v>3</v>
      </c>
      <c r="S12" s="81"/>
      <c r="T12" s="81"/>
      <c r="U12" s="48">
        <v>41.9</v>
      </c>
      <c r="V12" s="48">
        <v>0.358974</v>
      </c>
      <c r="W12" s="48">
        <v>0.185113</v>
      </c>
      <c r="X12" s="48">
        <v>0.033555</v>
      </c>
      <c r="Y12" s="48">
        <v>0</v>
      </c>
      <c r="Z12" s="48">
        <v>0</v>
      </c>
      <c r="AA12" s="82">
        <v>12</v>
      </c>
      <c r="AB12" s="82"/>
      <c r="AC12" s="84" t="s">
        <v>280</v>
      </c>
      <c r="AD12" s="1">
        <v>0.05160098522167487</v>
      </c>
      <c r="AE12" s="90" t="str">
        <f>REPLACE(INDEX(GroupVertices[Group],MATCH("~"&amp;Vertices[[#This Row],[Vertex]],GroupVertices[Vertex],0)),1,1,"")</f>
        <v>5</v>
      </c>
    </row>
    <row r="13" spans="1:31" ht="15">
      <c r="A13" s="11" t="s">
        <v>269</v>
      </c>
      <c r="B13" s="12"/>
      <c r="C13" s="12" t="s">
        <v>56</v>
      </c>
      <c r="D13" s="76">
        <v>452.0664948972594</v>
      </c>
      <c r="E13" s="77"/>
      <c r="F13" s="12"/>
      <c r="G13" s="12"/>
      <c r="H13" s="13" t="s">
        <v>269</v>
      </c>
      <c r="I13" s="62"/>
      <c r="J13" s="62"/>
      <c r="K13" s="13"/>
      <c r="L13" s="78">
        <v>1630.4872283644681</v>
      </c>
      <c r="M13" s="79"/>
      <c r="N13" s="79"/>
      <c r="O13" s="73"/>
      <c r="P13" s="80"/>
      <c r="Q13" s="80"/>
      <c r="R13" s="47">
        <v>3</v>
      </c>
      <c r="S13" s="81"/>
      <c r="T13" s="81"/>
      <c r="U13" s="48">
        <v>42.75</v>
      </c>
      <c r="V13" s="48">
        <v>0.358974</v>
      </c>
      <c r="W13" s="48">
        <v>0.190727</v>
      </c>
      <c r="X13" s="48">
        <v>0.032918</v>
      </c>
      <c r="Y13" s="48">
        <v>0</v>
      </c>
      <c r="Z13" s="48">
        <v>0</v>
      </c>
      <c r="AA13" s="82">
        <v>13</v>
      </c>
      <c r="AB13" s="82"/>
      <c r="AC13" s="84" t="s">
        <v>280</v>
      </c>
      <c r="AD13" s="1">
        <v>0.05264778325123151</v>
      </c>
      <c r="AE13" s="90" t="str">
        <f>REPLACE(INDEX(GroupVertices[Group],MATCH("~"&amp;Vertices[[#This Row],[Vertex]],GroupVertices[Vertex],0)),1,1,"")</f>
        <v>1</v>
      </c>
    </row>
    <row r="14" spans="1:31" ht="15">
      <c r="A14" s="11" t="s">
        <v>271</v>
      </c>
      <c r="B14" s="12"/>
      <c r="C14" s="12" t="s">
        <v>56</v>
      </c>
      <c r="D14" s="76">
        <v>100</v>
      </c>
      <c r="E14" s="77"/>
      <c r="F14" s="12"/>
      <c r="G14" s="12"/>
      <c r="H14" s="13" t="s">
        <v>271</v>
      </c>
      <c r="I14" s="62"/>
      <c r="J14" s="62"/>
      <c r="K14" s="13"/>
      <c r="L14" s="78">
        <v>1</v>
      </c>
      <c r="M14" s="79"/>
      <c r="N14" s="79"/>
      <c r="O14" s="73"/>
      <c r="P14" s="80"/>
      <c r="Q14" s="80"/>
      <c r="R14" s="47">
        <v>1</v>
      </c>
      <c r="S14" s="81"/>
      <c r="T14" s="81"/>
      <c r="U14" s="48">
        <v>0</v>
      </c>
      <c r="V14" s="48">
        <v>0.247788</v>
      </c>
      <c r="W14" s="48">
        <v>0.037902</v>
      </c>
      <c r="X14" s="48">
        <v>0.03114</v>
      </c>
      <c r="Y14" s="48">
        <v>0</v>
      </c>
      <c r="Z14" s="48">
        <v>0</v>
      </c>
      <c r="AA14" s="82">
        <v>14</v>
      </c>
      <c r="AB14" s="82"/>
      <c r="AC14" s="84" t="s">
        <v>280</v>
      </c>
      <c r="AD14" s="1">
        <v>0</v>
      </c>
      <c r="AE14" s="90" t="str">
        <f>REPLACE(INDEX(GroupVertices[Group],MATCH("~"&amp;Vertices[[#This Row],[Vertex]],GroupVertices[Vertex],0)),1,1,"")</f>
        <v>5</v>
      </c>
    </row>
    <row r="15" spans="1:31" ht="15">
      <c r="A15" s="11" t="s">
        <v>273</v>
      </c>
      <c r="B15" s="12"/>
      <c r="C15" s="12" t="s">
        <v>56</v>
      </c>
      <c r="D15" s="76">
        <v>175.49184375626612</v>
      </c>
      <c r="E15" s="77"/>
      <c r="F15" s="12"/>
      <c r="G15" s="12"/>
      <c r="H15" s="13" t="s">
        <v>273</v>
      </c>
      <c r="I15" s="62"/>
      <c r="J15" s="62"/>
      <c r="K15" s="13"/>
      <c r="L15" s="78">
        <v>350.4027322378955</v>
      </c>
      <c r="M15" s="79"/>
      <c r="N15" s="79"/>
      <c r="O15" s="73"/>
      <c r="P15" s="80"/>
      <c r="Q15" s="80"/>
      <c r="R15" s="47">
        <v>2</v>
      </c>
      <c r="S15" s="81"/>
      <c r="T15" s="81"/>
      <c r="U15" s="48">
        <v>9.166667</v>
      </c>
      <c r="V15" s="48">
        <v>0.294737</v>
      </c>
      <c r="W15" s="48">
        <v>0.058457</v>
      </c>
      <c r="X15" s="48">
        <v>0.032817</v>
      </c>
      <c r="Y15" s="48">
        <v>0</v>
      </c>
      <c r="Z15" s="48">
        <v>0</v>
      </c>
      <c r="AA15" s="82">
        <v>15</v>
      </c>
      <c r="AB15" s="82"/>
      <c r="AC15" s="84" t="s">
        <v>280</v>
      </c>
      <c r="AD15" s="1">
        <v>0.01128899835796388</v>
      </c>
      <c r="AE15" s="90" t="str">
        <f>REPLACE(INDEX(GroupVertices[Group],MATCH("~"&amp;Vertices[[#This Row],[Vertex]],GroupVertices[Vertex],0)),1,1,"")</f>
        <v>3</v>
      </c>
    </row>
    <row r="16" spans="1:31" ht="15">
      <c r="A16" s="11" t="s">
        <v>275</v>
      </c>
      <c r="B16" s="12"/>
      <c r="C16" s="12" t="s">
        <v>56</v>
      </c>
      <c r="D16" s="76">
        <v>100</v>
      </c>
      <c r="E16" s="77"/>
      <c r="F16" s="12"/>
      <c r="G16" s="12"/>
      <c r="H16" s="13" t="s">
        <v>275</v>
      </c>
      <c r="I16" s="62"/>
      <c r="J16" s="62"/>
      <c r="K16" s="13"/>
      <c r="L16" s="78">
        <v>1</v>
      </c>
      <c r="M16" s="79"/>
      <c r="N16" s="79"/>
      <c r="O16" s="73"/>
      <c r="P16" s="80"/>
      <c r="Q16" s="80"/>
      <c r="R16" s="47">
        <v>1</v>
      </c>
      <c r="S16" s="81"/>
      <c r="T16" s="81"/>
      <c r="U16" s="48">
        <v>0</v>
      </c>
      <c r="V16" s="48">
        <v>0.252252</v>
      </c>
      <c r="W16" s="48">
        <v>0.046165</v>
      </c>
      <c r="X16" s="48">
        <v>0.030854</v>
      </c>
      <c r="Y16" s="48">
        <v>0</v>
      </c>
      <c r="Z16" s="48">
        <v>0</v>
      </c>
      <c r="AA16" s="82">
        <v>16</v>
      </c>
      <c r="AB16" s="82"/>
      <c r="AC16" s="84" t="s">
        <v>280</v>
      </c>
      <c r="AD16" s="1">
        <v>0</v>
      </c>
      <c r="AE16" s="90" t="str">
        <f>REPLACE(INDEX(GroupVertices[Group],MATCH("~"&amp;Vertices[[#This Row],[Vertex]],GroupVertices[Vertex],0)),1,1,"")</f>
        <v>2</v>
      </c>
    </row>
    <row r="17" spans="1:31" ht="15">
      <c r="A17" s="11" t="s">
        <v>278</v>
      </c>
      <c r="B17" s="12"/>
      <c r="C17" s="12" t="s">
        <v>56</v>
      </c>
      <c r="D17" s="76">
        <v>1000</v>
      </c>
      <c r="E17" s="77"/>
      <c r="F17" s="12"/>
      <c r="G17" s="12"/>
      <c r="H17" s="13" t="s">
        <v>278</v>
      </c>
      <c r="I17" s="62"/>
      <c r="J17" s="62"/>
      <c r="K17" s="13"/>
      <c r="L17" s="78">
        <v>9999</v>
      </c>
      <c r="M17" s="79"/>
      <c r="N17" s="79"/>
      <c r="O17" s="73"/>
      <c r="P17" s="80"/>
      <c r="Q17" s="80"/>
      <c r="R17" s="47">
        <v>6</v>
      </c>
      <c r="S17" s="81"/>
      <c r="T17" s="81"/>
      <c r="U17" s="48">
        <v>262.3</v>
      </c>
      <c r="V17" s="48">
        <v>0.451613</v>
      </c>
      <c r="W17" s="48">
        <v>0.367196</v>
      </c>
      <c r="X17" s="48">
        <v>0.038182</v>
      </c>
      <c r="Y17" s="48">
        <v>0.1</v>
      </c>
      <c r="Z17" s="48">
        <v>0</v>
      </c>
      <c r="AA17" s="82">
        <v>17</v>
      </c>
      <c r="AB17" s="82"/>
      <c r="AC17" s="84" t="s">
        <v>280</v>
      </c>
      <c r="AD17" s="1">
        <v>0.3230295566502463</v>
      </c>
      <c r="AE17" s="90" t="str">
        <f>REPLACE(INDEX(GroupVertices[Group],MATCH("~"&amp;Vertices[[#This Row],[Vertex]],GroupVertices[Vertex],0)),1,1,"")</f>
        <v>2</v>
      </c>
    </row>
    <row r="18" spans="1:31" ht="15">
      <c r="A18" s="11" t="s">
        <v>250</v>
      </c>
      <c r="B18" s="12"/>
      <c r="C18" s="12" t="s">
        <v>59</v>
      </c>
      <c r="D18" s="76">
        <v>244.12078738484303</v>
      </c>
      <c r="E18" s="77"/>
      <c r="F18" s="12"/>
      <c r="G18" s="12"/>
      <c r="H18" s="13" t="s">
        <v>250</v>
      </c>
      <c r="I18" s="62"/>
      <c r="J18" s="62"/>
      <c r="K18" s="13"/>
      <c r="L18" s="78">
        <v>668.0415554708349</v>
      </c>
      <c r="M18" s="79"/>
      <c r="N18" s="79"/>
      <c r="O18" s="73"/>
      <c r="P18" s="80"/>
      <c r="Q18" s="80"/>
      <c r="R18" s="47">
        <v>2</v>
      </c>
      <c r="S18" s="81"/>
      <c r="T18" s="81"/>
      <c r="U18" s="48">
        <v>17.5</v>
      </c>
      <c r="V18" s="48">
        <v>0.291667</v>
      </c>
      <c r="W18" s="48">
        <v>0.049172</v>
      </c>
      <c r="X18" s="48">
        <v>0.03296</v>
      </c>
      <c r="Y18" s="48">
        <v>0</v>
      </c>
      <c r="Z18" s="48">
        <v>0</v>
      </c>
      <c r="AA18" s="82">
        <v>18</v>
      </c>
      <c r="AB18" s="82"/>
      <c r="AC18" s="84" t="s">
        <v>280</v>
      </c>
      <c r="AD18" s="1">
        <v>0.02155172413793104</v>
      </c>
      <c r="AE18" s="90" t="str">
        <f>REPLACE(INDEX(GroupVertices[Group],MATCH("~"&amp;Vertices[[#This Row],[Vertex]],GroupVertices[Vertex],0)),1,1,"")</f>
        <v>3</v>
      </c>
    </row>
    <row r="19" spans="1:31" ht="15">
      <c r="A19" s="11" t="s">
        <v>252</v>
      </c>
      <c r="B19" s="12"/>
      <c r="C19" s="12" t="s">
        <v>59</v>
      </c>
      <c r="D19" s="76">
        <v>1000</v>
      </c>
      <c r="E19" s="77"/>
      <c r="F19" s="12"/>
      <c r="G19" s="12"/>
      <c r="H19" s="13" t="s">
        <v>252</v>
      </c>
      <c r="I19" s="62"/>
      <c r="J19" s="62"/>
      <c r="K19" s="13"/>
      <c r="L19" s="78">
        <v>4166.515681791841</v>
      </c>
      <c r="M19" s="79"/>
      <c r="N19" s="79"/>
      <c r="O19" s="73"/>
      <c r="P19" s="80"/>
      <c r="Q19" s="80"/>
      <c r="R19" s="47">
        <v>4</v>
      </c>
      <c r="S19" s="81"/>
      <c r="T19" s="81"/>
      <c r="U19" s="48">
        <v>109.283333</v>
      </c>
      <c r="V19" s="48">
        <v>0.394366</v>
      </c>
      <c r="W19" s="48">
        <v>0.185831</v>
      </c>
      <c r="X19" s="48">
        <v>0.035542</v>
      </c>
      <c r="Y19" s="48">
        <v>0</v>
      </c>
      <c r="Z19" s="48">
        <v>0</v>
      </c>
      <c r="AA19" s="82">
        <v>19</v>
      </c>
      <c r="AB19" s="82"/>
      <c r="AC19" s="84" t="s">
        <v>280</v>
      </c>
      <c r="AD19" s="1">
        <v>0.1345853858784893</v>
      </c>
      <c r="AE19" s="90" t="str">
        <f>REPLACE(INDEX(GroupVertices[Group],MATCH("~"&amp;Vertices[[#This Row],[Vertex]],GroupVertices[Vertex],0)),1,1,"")</f>
        <v>1</v>
      </c>
    </row>
    <row r="20" spans="1:31" ht="15">
      <c r="A20" s="11" t="s">
        <v>254</v>
      </c>
      <c r="B20" s="12"/>
      <c r="C20" s="12" t="s">
        <v>59</v>
      </c>
      <c r="D20" s="76">
        <v>100</v>
      </c>
      <c r="E20" s="77"/>
      <c r="F20" s="12"/>
      <c r="G20" s="12"/>
      <c r="H20" s="13" t="s">
        <v>254</v>
      </c>
      <c r="I20" s="62"/>
      <c r="J20" s="62"/>
      <c r="K20" s="13"/>
      <c r="L20" s="78">
        <v>1</v>
      </c>
      <c r="M20" s="79"/>
      <c r="N20" s="79"/>
      <c r="O20" s="73"/>
      <c r="P20" s="80"/>
      <c r="Q20" s="80"/>
      <c r="R20" s="47">
        <v>1</v>
      </c>
      <c r="S20" s="81"/>
      <c r="T20" s="81"/>
      <c r="U20" s="48">
        <v>0</v>
      </c>
      <c r="V20" s="48">
        <v>0.239316</v>
      </c>
      <c r="W20" s="48">
        <v>0.018205</v>
      </c>
      <c r="X20" s="48">
        <v>0.031181</v>
      </c>
      <c r="Y20" s="48">
        <v>0</v>
      </c>
      <c r="Z20" s="48">
        <v>0</v>
      </c>
      <c r="AA20" s="82">
        <v>20</v>
      </c>
      <c r="AB20" s="82"/>
      <c r="AC20" s="84" t="s">
        <v>280</v>
      </c>
      <c r="AD20" s="1">
        <v>0</v>
      </c>
      <c r="AE20" s="90" t="str">
        <f>REPLACE(INDEX(GroupVertices[Group],MATCH("~"&amp;Vertices[[#This Row],[Vertex]],GroupVertices[Vertex],0)),1,1,"")</f>
        <v>1</v>
      </c>
    </row>
    <row r="21" spans="1:31" ht="15">
      <c r="A21" s="11" t="s">
        <v>256</v>
      </c>
      <c r="B21" s="12"/>
      <c r="C21" s="12" t="s">
        <v>59</v>
      </c>
      <c r="D21" s="76">
        <v>635.8548160312789</v>
      </c>
      <c r="E21" s="77"/>
      <c r="F21" s="12"/>
      <c r="G21" s="12"/>
      <c r="H21" s="13" t="s">
        <v>256</v>
      </c>
      <c r="I21" s="62"/>
      <c r="J21" s="62"/>
      <c r="K21" s="13"/>
      <c r="L21" s="78">
        <v>2481.124043713305</v>
      </c>
      <c r="M21" s="79"/>
      <c r="N21" s="79"/>
      <c r="O21" s="73"/>
      <c r="P21" s="80"/>
      <c r="Q21" s="80"/>
      <c r="R21" s="47">
        <v>3</v>
      </c>
      <c r="S21" s="81"/>
      <c r="T21" s="81"/>
      <c r="U21" s="48">
        <v>65.066667</v>
      </c>
      <c r="V21" s="48">
        <v>0.311111</v>
      </c>
      <c r="W21" s="48">
        <v>0.070596</v>
      </c>
      <c r="X21" s="48">
        <v>0.037408</v>
      </c>
      <c r="Y21" s="48">
        <v>0</v>
      </c>
      <c r="Z21" s="48">
        <v>0</v>
      </c>
      <c r="AA21" s="82">
        <v>21</v>
      </c>
      <c r="AB21" s="82"/>
      <c r="AC21" s="84" t="s">
        <v>280</v>
      </c>
      <c r="AD21" s="1">
        <v>0.0801313628899836</v>
      </c>
      <c r="AE21" s="90" t="str">
        <f>REPLACE(INDEX(GroupVertices[Group],MATCH("~"&amp;Vertices[[#This Row],[Vertex]],GroupVertices[Vertex],0)),1,1,"")</f>
        <v>1</v>
      </c>
    </row>
    <row r="22" spans="1:31" ht="15">
      <c r="A22" s="11" t="s">
        <v>265</v>
      </c>
      <c r="B22" s="12"/>
      <c r="C22" s="12" t="s">
        <v>59</v>
      </c>
      <c r="D22" s="76"/>
      <c r="E22" s="77"/>
      <c r="F22" s="12"/>
      <c r="G22" s="12"/>
      <c r="H22" s="13" t="s">
        <v>265</v>
      </c>
      <c r="I22" s="62"/>
      <c r="J22" s="62"/>
      <c r="K22" s="13"/>
      <c r="L22" s="78"/>
      <c r="M22" s="79"/>
      <c r="N22" s="79"/>
      <c r="O22" s="73"/>
      <c r="P22" s="80"/>
      <c r="Q22" s="80"/>
      <c r="R22" s="47"/>
      <c r="S22" s="81"/>
      <c r="T22" s="81"/>
      <c r="U22" s="48"/>
      <c r="V22" s="48"/>
      <c r="W22" s="48"/>
      <c r="X22" s="48"/>
      <c r="Y22" s="48"/>
      <c r="Z22" s="48"/>
      <c r="AA22" s="82">
        <v>22</v>
      </c>
      <c r="AB22" s="82"/>
      <c r="AC22" s="84" t="s">
        <v>280</v>
      </c>
      <c r="AD22" s="1">
        <v>0</v>
      </c>
      <c r="AE22" s="90" t="e">
        <f>REPLACE(INDEX(GroupVertices[Group],MATCH("~"&amp;Vertices[[#This Row],[Vertex]],GroupVertices[Vertex],0)),1,1,"")</f>
        <v>#N/A</v>
      </c>
    </row>
    <row r="23" spans="1:31" ht="15">
      <c r="A23" s="11" t="s">
        <v>258</v>
      </c>
      <c r="B23" s="12"/>
      <c r="C23" s="12" t="s">
        <v>59</v>
      </c>
      <c r="D23" s="76">
        <v>485.4201628348945</v>
      </c>
      <c r="E23" s="77"/>
      <c r="F23" s="12"/>
      <c r="G23" s="12"/>
      <c r="H23" s="13" t="s">
        <v>258</v>
      </c>
      <c r="I23" s="62"/>
      <c r="J23" s="62"/>
      <c r="K23" s="13"/>
      <c r="L23" s="78">
        <v>1784.8597026305754</v>
      </c>
      <c r="M23" s="79"/>
      <c r="N23" s="79"/>
      <c r="O23" s="73"/>
      <c r="P23" s="80"/>
      <c r="Q23" s="80"/>
      <c r="R23" s="47">
        <v>3</v>
      </c>
      <c r="S23" s="81"/>
      <c r="T23" s="81"/>
      <c r="U23" s="48">
        <v>46.8</v>
      </c>
      <c r="V23" s="48">
        <v>0.318182</v>
      </c>
      <c r="W23" s="48">
        <v>0.089351</v>
      </c>
      <c r="X23" s="48">
        <v>0.034942</v>
      </c>
      <c r="Y23" s="48">
        <v>0</v>
      </c>
      <c r="Z23" s="48">
        <v>0</v>
      </c>
      <c r="AA23" s="82">
        <v>23</v>
      </c>
      <c r="AB23" s="82"/>
      <c r="AC23" s="84" t="s">
        <v>281</v>
      </c>
      <c r="AD23" s="1">
        <v>0.05763546798029556</v>
      </c>
      <c r="AE23" s="90" t="str">
        <f>REPLACE(INDEX(GroupVertices[Group],MATCH("~"&amp;Vertices[[#This Row],[Vertex]],GroupVertices[Vertex],0)),1,1,"")</f>
        <v>1</v>
      </c>
    </row>
    <row r="24" spans="1:31" ht="15">
      <c r="A24" s="11" t="s">
        <v>260</v>
      </c>
      <c r="B24" s="12"/>
      <c r="C24" s="12" t="s">
        <v>59</v>
      </c>
      <c r="D24" s="76">
        <v>100</v>
      </c>
      <c r="E24" s="77"/>
      <c r="F24" s="12"/>
      <c r="G24" s="12"/>
      <c r="H24" s="13" t="s">
        <v>260</v>
      </c>
      <c r="I24" s="62"/>
      <c r="J24" s="62"/>
      <c r="K24" s="13"/>
      <c r="L24" s="78">
        <v>1</v>
      </c>
      <c r="M24" s="79"/>
      <c r="N24" s="79"/>
      <c r="O24" s="73"/>
      <c r="P24" s="80"/>
      <c r="Q24" s="80"/>
      <c r="R24" s="47">
        <v>1</v>
      </c>
      <c r="S24" s="81"/>
      <c r="T24" s="81"/>
      <c r="U24" s="48">
        <v>0</v>
      </c>
      <c r="V24" s="48">
        <v>0.256881</v>
      </c>
      <c r="W24" s="48">
        <v>0.029659</v>
      </c>
      <c r="X24" s="48">
        <v>0.031181</v>
      </c>
      <c r="Y24" s="48">
        <v>0</v>
      </c>
      <c r="Z24" s="48">
        <v>0</v>
      </c>
      <c r="AA24" s="82">
        <v>24</v>
      </c>
      <c r="AB24" s="82"/>
      <c r="AC24" s="84" t="s">
        <v>281</v>
      </c>
      <c r="AD24" s="1">
        <v>0</v>
      </c>
      <c r="AE24" s="90" t="str">
        <f>REPLACE(INDEX(GroupVertices[Group],MATCH("~"&amp;Vertices[[#This Row],[Vertex]],GroupVertices[Vertex],0)),1,1,"")</f>
        <v>3</v>
      </c>
    </row>
    <row r="25" spans="1:31" ht="15">
      <c r="A25" s="11" t="s">
        <v>262</v>
      </c>
      <c r="B25" s="12"/>
      <c r="C25" s="12" t="s">
        <v>59</v>
      </c>
      <c r="D25" s="76">
        <v>233.1401587102033</v>
      </c>
      <c r="E25" s="77"/>
      <c r="F25" s="12"/>
      <c r="G25" s="12"/>
      <c r="H25" s="13" t="s">
        <v>262</v>
      </c>
      <c r="I25" s="62"/>
      <c r="J25" s="62"/>
      <c r="K25" s="13"/>
      <c r="L25" s="78">
        <v>617.2193544262295</v>
      </c>
      <c r="M25" s="79"/>
      <c r="N25" s="79"/>
      <c r="O25" s="73"/>
      <c r="P25" s="80"/>
      <c r="Q25" s="80"/>
      <c r="R25" s="47">
        <v>3</v>
      </c>
      <c r="S25" s="81"/>
      <c r="T25" s="81"/>
      <c r="U25" s="48">
        <v>16.166667</v>
      </c>
      <c r="V25" s="48">
        <v>0.314607</v>
      </c>
      <c r="W25" s="48">
        <v>0.162286</v>
      </c>
      <c r="X25" s="48">
        <v>0.034374</v>
      </c>
      <c r="Y25" s="48">
        <v>0.16666666666666666</v>
      </c>
      <c r="Z25" s="48">
        <v>0</v>
      </c>
      <c r="AA25" s="82">
        <v>25</v>
      </c>
      <c r="AB25" s="82"/>
      <c r="AC25" s="84" t="s">
        <v>281</v>
      </c>
      <c r="AD25" s="1">
        <v>0.01990968801313629</v>
      </c>
      <c r="AE25" s="90" t="str">
        <f>REPLACE(INDEX(GroupVertices[Group],MATCH("~"&amp;Vertices[[#This Row],[Vertex]],GroupVertices[Vertex],0)),1,1,"")</f>
        <v>4</v>
      </c>
    </row>
    <row r="26" spans="1:31" ht="15">
      <c r="A26" s="11" t="s">
        <v>264</v>
      </c>
      <c r="B26" s="12"/>
      <c r="C26" s="12" t="s">
        <v>59</v>
      </c>
      <c r="D26" s="76">
        <v>216.12017726435926</v>
      </c>
      <c r="E26" s="77"/>
      <c r="F26" s="12"/>
      <c r="G26" s="12"/>
      <c r="H26" s="13" t="s">
        <v>264</v>
      </c>
      <c r="I26" s="62"/>
      <c r="J26" s="62"/>
      <c r="K26" s="13"/>
      <c r="L26" s="78">
        <v>538.4449104079298</v>
      </c>
      <c r="M26" s="79"/>
      <c r="N26" s="79"/>
      <c r="O26" s="73"/>
      <c r="P26" s="80"/>
      <c r="Q26" s="80"/>
      <c r="R26" s="47">
        <v>2</v>
      </c>
      <c r="S26" s="81"/>
      <c r="T26" s="81"/>
      <c r="U26" s="48">
        <v>14.1</v>
      </c>
      <c r="V26" s="48">
        <v>0.321839</v>
      </c>
      <c r="W26" s="48">
        <v>0.090061</v>
      </c>
      <c r="X26" s="48">
        <v>0.032373</v>
      </c>
      <c r="Y26" s="48">
        <v>0</v>
      </c>
      <c r="Z26" s="48">
        <v>0</v>
      </c>
      <c r="AA26" s="82">
        <v>26</v>
      </c>
      <c r="AB26" s="82"/>
      <c r="AC26" s="84" t="s">
        <v>281</v>
      </c>
      <c r="AD26" s="1">
        <v>0.01736453201970443</v>
      </c>
      <c r="AE26" s="90" t="str">
        <f>REPLACE(INDEX(GroupVertices[Group],MATCH("~"&amp;Vertices[[#This Row],[Vertex]],GroupVertices[Vertex],0)),1,1,"")</f>
        <v>1</v>
      </c>
    </row>
    <row r="27" spans="1:31" ht="15">
      <c r="A27" s="11" t="s">
        <v>268</v>
      </c>
      <c r="B27" s="12"/>
      <c r="C27" s="12" t="s">
        <v>59</v>
      </c>
      <c r="D27" s="76">
        <v>100</v>
      </c>
      <c r="E27" s="77"/>
      <c r="F27" s="12"/>
      <c r="G27" s="12"/>
      <c r="H27" s="13" t="s">
        <v>268</v>
      </c>
      <c r="I27" s="62"/>
      <c r="J27" s="62"/>
      <c r="K27" s="13"/>
      <c r="L27" s="78">
        <v>1</v>
      </c>
      <c r="M27" s="79"/>
      <c r="N27" s="79"/>
      <c r="O27" s="73"/>
      <c r="P27" s="80"/>
      <c r="Q27" s="80"/>
      <c r="R27" s="47">
        <v>1</v>
      </c>
      <c r="S27" s="81"/>
      <c r="T27" s="81"/>
      <c r="U27" s="48">
        <v>0</v>
      </c>
      <c r="V27" s="48">
        <v>0.252252</v>
      </c>
      <c r="W27" s="48">
        <v>0.046165</v>
      </c>
      <c r="X27" s="48">
        <v>0.030854</v>
      </c>
      <c r="Y27" s="48">
        <v>0</v>
      </c>
      <c r="Z27" s="48">
        <v>0</v>
      </c>
      <c r="AA27" s="82">
        <v>27</v>
      </c>
      <c r="AB27" s="82"/>
      <c r="AC27" s="84" t="s">
        <v>281</v>
      </c>
      <c r="AD27" s="1">
        <v>0</v>
      </c>
      <c r="AE27" s="90" t="str">
        <f>REPLACE(INDEX(GroupVertices[Group],MATCH("~"&amp;Vertices[[#This Row],[Vertex]],GroupVertices[Vertex],0)),1,1,"")</f>
        <v>2</v>
      </c>
    </row>
    <row r="28" spans="1:31" ht="15">
      <c r="A28" s="11" t="s">
        <v>270</v>
      </c>
      <c r="B28" s="12"/>
      <c r="C28" s="12" t="s">
        <v>59</v>
      </c>
      <c r="D28" s="76">
        <v>231.76757703757076</v>
      </c>
      <c r="E28" s="77"/>
      <c r="F28" s="12"/>
      <c r="G28" s="12"/>
      <c r="H28" s="13" t="s">
        <v>270</v>
      </c>
      <c r="I28" s="62"/>
      <c r="J28" s="62"/>
      <c r="K28" s="13"/>
      <c r="L28" s="78">
        <v>610.8665650019062</v>
      </c>
      <c r="M28" s="79"/>
      <c r="N28" s="79"/>
      <c r="O28" s="73"/>
      <c r="P28" s="80"/>
      <c r="Q28" s="80"/>
      <c r="R28" s="47">
        <v>3</v>
      </c>
      <c r="S28" s="81"/>
      <c r="T28" s="81"/>
      <c r="U28" s="48">
        <v>16</v>
      </c>
      <c r="V28" s="48">
        <v>0.35</v>
      </c>
      <c r="W28" s="48">
        <v>0.234737</v>
      </c>
      <c r="X28" s="48">
        <v>0.032887</v>
      </c>
      <c r="Y28" s="48">
        <v>0.3333333333333333</v>
      </c>
      <c r="Z28" s="48">
        <v>0</v>
      </c>
      <c r="AA28" s="82">
        <v>28</v>
      </c>
      <c r="AB28" s="82"/>
      <c r="AC28" s="84" t="s">
        <v>281</v>
      </c>
      <c r="AD28" s="1">
        <v>0.01970443349753694</v>
      </c>
      <c r="AE28" s="90" t="str">
        <f>REPLACE(INDEX(GroupVertices[Group],MATCH("~"&amp;Vertices[[#This Row],[Vertex]],GroupVertices[Vertex],0)),1,1,"")</f>
        <v>2</v>
      </c>
    </row>
    <row r="29" spans="1:31" ht="15">
      <c r="A29" s="11" t="s">
        <v>272</v>
      </c>
      <c r="B29" s="12"/>
      <c r="C29" s="12" t="s">
        <v>59</v>
      </c>
      <c r="D29" s="76">
        <v>849.9771287173315</v>
      </c>
      <c r="E29" s="77"/>
      <c r="F29" s="12"/>
      <c r="G29" s="12"/>
      <c r="H29" s="13" t="s">
        <v>272</v>
      </c>
      <c r="I29" s="62"/>
      <c r="J29" s="62"/>
      <c r="K29" s="13"/>
      <c r="L29" s="78">
        <v>3472.1572118414024</v>
      </c>
      <c r="M29" s="79"/>
      <c r="N29" s="79"/>
      <c r="O29" s="73"/>
      <c r="P29" s="80"/>
      <c r="Q29" s="80"/>
      <c r="R29" s="47">
        <v>3</v>
      </c>
      <c r="S29" s="81"/>
      <c r="T29" s="81"/>
      <c r="U29" s="48">
        <v>91.066667</v>
      </c>
      <c r="V29" s="48">
        <v>0.378378</v>
      </c>
      <c r="W29" s="48">
        <v>0.166221</v>
      </c>
      <c r="X29" s="48">
        <v>0.033471</v>
      </c>
      <c r="Y29" s="48">
        <v>0</v>
      </c>
      <c r="Z29" s="48">
        <v>0</v>
      </c>
      <c r="AA29" s="82">
        <v>29</v>
      </c>
      <c r="AB29" s="82"/>
      <c r="AC29" s="84" t="s">
        <v>281</v>
      </c>
      <c r="AD29" s="1">
        <v>0.1121510673234811</v>
      </c>
      <c r="AE29" s="90" t="str">
        <f>REPLACE(INDEX(GroupVertices[Group],MATCH("~"&amp;Vertices[[#This Row],[Vertex]],GroupVertices[Vertex],0)),1,1,"")</f>
        <v>1</v>
      </c>
    </row>
    <row r="30" spans="1:31" ht="15">
      <c r="A30" s="11" t="s">
        <v>274</v>
      </c>
      <c r="B30" s="12"/>
      <c r="C30" s="12" t="s">
        <v>59</v>
      </c>
      <c r="D30" s="76">
        <v>536.8918726151956</v>
      </c>
      <c r="E30" s="77"/>
      <c r="F30" s="12"/>
      <c r="G30" s="12"/>
      <c r="H30" s="13" t="s">
        <v>274</v>
      </c>
      <c r="I30" s="62"/>
      <c r="J30" s="62"/>
      <c r="K30" s="13"/>
      <c r="L30" s="78">
        <v>2023.0888295844452</v>
      </c>
      <c r="M30" s="79"/>
      <c r="N30" s="79"/>
      <c r="O30" s="73"/>
      <c r="P30" s="80"/>
      <c r="Q30" s="80"/>
      <c r="R30" s="47">
        <v>4</v>
      </c>
      <c r="S30" s="81"/>
      <c r="T30" s="81"/>
      <c r="U30" s="48">
        <v>53.05</v>
      </c>
      <c r="V30" s="48">
        <v>0.373333</v>
      </c>
      <c r="W30" s="48">
        <v>0.206797</v>
      </c>
      <c r="X30" s="48">
        <v>0.035624</v>
      </c>
      <c r="Y30" s="48">
        <v>0</v>
      </c>
      <c r="Z30" s="48">
        <v>0</v>
      </c>
      <c r="AA30" s="82">
        <v>30</v>
      </c>
      <c r="AB30" s="82"/>
      <c r="AC30" s="84" t="s">
        <v>281</v>
      </c>
      <c r="AD30" s="1">
        <v>0.06533251231527094</v>
      </c>
      <c r="AE30" s="90" t="str">
        <f>REPLACE(INDEX(GroupVertices[Group],MATCH("~"&amp;Vertices[[#This Row],[Vertex]],GroupVertices[Vertex],0)),1,1,"")</f>
        <v>1</v>
      </c>
    </row>
    <row r="31" spans="1:31" ht="15">
      <c r="A31" s="11" t="s">
        <v>276</v>
      </c>
      <c r="B31" s="12"/>
      <c r="C31" s="12" t="s">
        <v>59</v>
      </c>
      <c r="D31" s="76">
        <v>100</v>
      </c>
      <c r="E31" s="77"/>
      <c r="F31" s="12"/>
      <c r="G31" s="12"/>
      <c r="H31" s="13" t="s">
        <v>276</v>
      </c>
      <c r="I31" s="62"/>
      <c r="J31" s="62"/>
      <c r="K31" s="13"/>
      <c r="L31" s="78">
        <v>1</v>
      </c>
      <c r="M31" s="79"/>
      <c r="N31" s="79"/>
      <c r="O31" s="73"/>
      <c r="P31" s="80"/>
      <c r="Q31" s="80"/>
      <c r="R31" s="47">
        <v>1</v>
      </c>
      <c r="S31" s="81"/>
      <c r="T31" s="81"/>
      <c r="U31" s="48">
        <v>0</v>
      </c>
      <c r="V31" s="48">
        <v>0.291667</v>
      </c>
      <c r="W31" s="48">
        <v>0.089478</v>
      </c>
      <c r="X31" s="48">
        <v>0.030249</v>
      </c>
      <c r="Y31" s="48">
        <v>0</v>
      </c>
      <c r="Z31" s="48">
        <v>0</v>
      </c>
      <c r="AA31" s="82">
        <v>31</v>
      </c>
      <c r="AB31" s="82"/>
      <c r="AC31" s="84" t="s">
        <v>281</v>
      </c>
      <c r="AD31" s="1">
        <v>0</v>
      </c>
      <c r="AE31" s="90" t="str">
        <f>REPLACE(INDEX(GroupVertices[Group],MATCH("~"&amp;Vertices[[#This Row],[Vertex]],GroupVertices[Vertex],0)),1,1,"")</f>
        <v>4</v>
      </c>
    </row>
    <row r="32" spans="1:31" ht="15">
      <c r="A32" s="11" t="s">
        <v>277</v>
      </c>
      <c r="B32" s="12"/>
      <c r="C32" s="12" t="s">
        <v>59</v>
      </c>
      <c r="D32" s="76">
        <v>642.8549685614</v>
      </c>
      <c r="E32" s="77"/>
      <c r="F32" s="12"/>
      <c r="G32" s="12"/>
      <c r="H32" s="13" t="s">
        <v>277</v>
      </c>
      <c r="I32" s="62"/>
      <c r="J32" s="62"/>
      <c r="K32" s="13"/>
      <c r="L32" s="78">
        <v>2513.523204979032</v>
      </c>
      <c r="M32" s="79"/>
      <c r="N32" s="79"/>
      <c r="O32" s="73"/>
      <c r="P32" s="80"/>
      <c r="Q32" s="80"/>
      <c r="R32" s="47">
        <v>4</v>
      </c>
      <c r="S32" s="81"/>
      <c r="T32" s="81"/>
      <c r="U32" s="48">
        <v>65.916667</v>
      </c>
      <c r="V32" s="48">
        <v>0.388889</v>
      </c>
      <c r="W32" s="48">
        <v>0.259914</v>
      </c>
      <c r="X32" s="48">
        <v>0.035092</v>
      </c>
      <c r="Y32" s="48">
        <v>0</v>
      </c>
      <c r="Z32" s="48">
        <v>0</v>
      </c>
      <c r="AA32" s="82">
        <v>32</v>
      </c>
      <c r="AB32" s="82"/>
      <c r="AC32" s="84" t="s">
        <v>281</v>
      </c>
      <c r="AD32" s="1">
        <v>0.08117816091954023</v>
      </c>
      <c r="AE32" s="90" t="str">
        <f>REPLACE(INDEX(GroupVertices[Group],MATCH("~"&amp;Vertices[[#This Row],[Vertex]],GroupVertices[Vertex],0)),1,1,"")</f>
        <v>1</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
    <dataValidation allowBlank="1" errorTitle="Invalid Vertex Visibility" error="You have entered an unrecognized vertex visibility.  Try selecting from the drop-down list instead." sqref="AD3"/>
    <dataValidation allowBlank="1" showErrorMessage="1" sqref="AD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
    <dataValidation allowBlank="1" showInputMessage="1" promptTitle="Vertex Tooltip" prompt="Enter optional text that will pop up when the mouse is hovered over the vertex." errorTitle="Invalid Vertex Image Key" sqref="K3:K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
    <dataValidation allowBlank="1" showInputMessage="1" promptTitle="Vertex Label Fill Color" prompt="To select an optional fill color for the Label shape, right-click and select Select Color on the right-click menu." sqref="I3:I32"/>
    <dataValidation allowBlank="1" showInputMessage="1" promptTitle="Vertex Image File" prompt="Enter the path to an image file.  Hover over the column header for examples." errorTitle="Invalid Vertex Image Key" sqref="F3:F32"/>
    <dataValidation allowBlank="1" showInputMessage="1" promptTitle="Vertex Color" prompt="To select an optional vertex color, right-click and select Select Color on the right-click menu." sqref="B3:B32"/>
    <dataValidation allowBlank="1" showInputMessage="1" promptTitle="Vertex Opacity" prompt="Enter an optional vertex opacity between 0 (transparent) and 100 (opaque)." errorTitle="Invalid Vertex Opacity" error="The optional vertex opacity must be a whole number between 0 and 10." sqref="E3:E32"/>
    <dataValidation type="list" allowBlank="1" showInputMessage="1" showErrorMessage="1" promptTitle="Vertex Shape" prompt="Select an optional vertex shape." errorTitle="Invalid Vertex Shape" error="You have entered an invalid vertex shape.  Try selecting from the drop-down list instead." sqref="C3:C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
      <formula1>ValidVertexLabelPositions</formula1>
    </dataValidation>
    <dataValidation allowBlank="1" showInputMessage="1" showErrorMessage="1" promptTitle="Vertex Name" prompt="Enter the name of the vertex." sqref="A3:A3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7"/>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64" t="s">
        <v>39</v>
      </c>
      <c r="C1" s="65"/>
      <c r="D1" s="65"/>
      <c r="E1" s="66"/>
      <c r="F1" s="62" t="s">
        <v>43</v>
      </c>
      <c r="G1" s="67" t="s">
        <v>44</v>
      </c>
      <c r="H1" s="68"/>
      <c r="I1" s="69" t="s">
        <v>40</v>
      </c>
      <c r="J1" s="70"/>
      <c r="K1" s="71" t="s">
        <v>42</v>
      </c>
      <c r="L1" s="72"/>
      <c r="M1" s="72"/>
      <c r="N1" s="72"/>
      <c r="O1" s="72"/>
      <c r="P1" s="72"/>
      <c r="Q1" s="72"/>
      <c r="R1" s="72"/>
      <c r="S1" s="72"/>
      <c r="T1" s="72"/>
      <c r="U1" s="72"/>
      <c r="V1" s="72"/>
      <c r="W1" s="72"/>
      <c r="X1" s="72"/>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87" t="s">
        <v>355</v>
      </c>
      <c r="B3" s="91" t="s">
        <v>360</v>
      </c>
      <c r="C3" s="91" t="s">
        <v>56</v>
      </c>
      <c r="D3" s="88"/>
      <c r="E3" s="12"/>
      <c r="F3" s="13"/>
      <c r="G3" s="73"/>
      <c r="H3" s="73"/>
      <c r="I3" s="89">
        <v>3</v>
      </c>
      <c r="J3" s="59"/>
      <c r="K3" s="47">
        <v>9</v>
      </c>
      <c r="L3" s="47">
        <v>10</v>
      </c>
      <c r="M3" s="47">
        <v>0</v>
      </c>
      <c r="N3" s="47">
        <v>10</v>
      </c>
      <c r="O3" s="47">
        <v>0</v>
      </c>
      <c r="P3" s="48">
        <v>0</v>
      </c>
      <c r="Q3" s="48">
        <v>0</v>
      </c>
      <c r="R3" s="47">
        <v>1</v>
      </c>
      <c r="S3" s="47">
        <v>0</v>
      </c>
      <c r="T3" s="47">
        <v>9</v>
      </c>
      <c r="U3" s="47">
        <v>10</v>
      </c>
      <c r="V3" s="47">
        <v>4</v>
      </c>
      <c r="W3" s="48">
        <v>1.876543</v>
      </c>
      <c r="X3" s="48">
        <v>0.1388888888888889</v>
      </c>
    </row>
    <row r="4" spans="1:24" ht="15">
      <c r="A4" s="97" t="s">
        <v>356</v>
      </c>
      <c r="B4" s="91" t="s">
        <v>361</v>
      </c>
      <c r="C4" s="91" t="s">
        <v>56</v>
      </c>
      <c r="D4" s="98"/>
      <c r="E4" s="12"/>
      <c r="F4" s="13"/>
      <c r="G4" s="73"/>
      <c r="H4" s="73"/>
      <c r="I4" s="89">
        <v>4</v>
      </c>
      <c r="J4" s="99"/>
      <c r="K4" s="47">
        <v>7</v>
      </c>
      <c r="L4" s="47">
        <v>9</v>
      </c>
      <c r="M4" s="47">
        <v>0</v>
      </c>
      <c r="N4" s="47">
        <v>9</v>
      </c>
      <c r="O4" s="47">
        <v>0</v>
      </c>
      <c r="P4" s="48">
        <v>0</v>
      </c>
      <c r="Q4" s="48">
        <v>0</v>
      </c>
      <c r="R4" s="47">
        <v>1</v>
      </c>
      <c r="S4" s="47">
        <v>0</v>
      </c>
      <c r="T4" s="47">
        <v>7</v>
      </c>
      <c r="U4" s="47">
        <v>9</v>
      </c>
      <c r="V4" s="47">
        <v>3</v>
      </c>
      <c r="W4" s="48">
        <v>1.510204</v>
      </c>
      <c r="X4" s="48">
        <v>0.21428571428571427</v>
      </c>
    </row>
    <row r="5" spans="1:24" ht="15">
      <c r="A5" s="97" t="s">
        <v>357</v>
      </c>
      <c r="B5" s="91" t="s">
        <v>362</v>
      </c>
      <c r="C5" s="91" t="s">
        <v>56</v>
      </c>
      <c r="D5" s="98"/>
      <c r="E5" s="12"/>
      <c r="F5" s="13"/>
      <c r="G5" s="73"/>
      <c r="H5" s="73"/>
      <c r="I5" s="89">
        <v>5</v>
      </c>
      <c r="J5" s="99"/>
      <c r="K5" s="47">
        <v>6</v>
      </c>
      <c r="L5" s="47">
        <v>5</v>
      </c>
      <c r="M5" s="47">
        <v>0</v>
      </c>
      <c r="N5" s="47">
        <v>5</v>
      </c>
      <c r="O5" s="47">
        <v>0</v>
      </c>
      <c r="P5" s="48">
        <v>0</v>
      </c>
      <c r="Q5" s="48">
        <v>0</v>
      </c>
      <c r="R5" s="47">
        <v>1</v>
      </c>
      <c r="S5" s="47">
        <v>0</v>
      </c>
      <c r="T5" s="47">
        <v>6</v>
      </c>
      <c r="U5" s="47">
        <v>5</v>
      </c>
      <c r="V5" s="47">
        <v>5</v>
      </c>
      <c r="W5" s="48">
        <v>1.944444</v>
      </c>
      <c r="X5" s="48">
        <v>0.16666666666666666</v>
      </c>
    </row>
    <row r="6" spans="1:24" ht="15">
      <c r="A6" s="97" t="s">
        <v>358</v>
      </c>
      <c r="B6" s="91" t="s">
        <v>363</v>
      </c>
      <c r="C6" s="91" t="s">
        <v>56</v>
      </c>
      <c r="D6" s="98"/>
      <c r="E6" s="12"/>
      <c r="F6" s="13"/>
      <c r="G6" s="73"/>
      <c r="H6" s="73"/>
      <c r="I6" s="89">
        <v>6</v>
      </c>
      <c r="J6" s="99"/>
      <c r="K6" s="47">
        <v>4</v>
      </c>
      <c r="L6" s="47">
        <v>4</v>
      </c>
      <c r="M6" s="47">
        <v>0</v>
      </c>
      <c r="N6" s="47">
        <v>4</v>
      </c>
      <c r="O6" s="47">
        <v>0</v>
      </c>
      <c r="P6" s="48">
        <v>0</v>
      </c>
      <c r="Q6" s="48">
        <v>0</v>
      </c>
      <c r="R6" s="47">
        <v>1</v>
      </c>
      <c r="S6" s="47">
        <v>0</v>
      </c>
      <c r="T6" s="47">
        <v>4</v>
      </c>
      <c r="U6" s="47">
        <v>4</v>
      </c>
      <c r="V6" s="47">
        <v>2</v>
      </c>
      <c r="W6" s="48">
        <v>1</v>
      </c>
      <c r="X6" s="48">
        <v>0.3333333333333333</v>
      </c>
    </row>
    <row r="7" spans="1:24" ht="15">
      <c r="A7" s="97" t="s">
        <v>359</v>
      </c>
      <c r="B7" s="91" t="s">
        <v>364</v>
      </c>
      <c r="C7" s="91" t="s">
        <v>56</v>
      </c>
      <c r="D7" s="100"/>
      <c r="E7" s="101"/>
      <c r="F7" s="102"/>
      <c r="G7" s="103"/>
      <c r="H7" s="103"/>
      <c r="I7" s="104">
        <v>7</v>
      </c>
      <c r="J7" s="105"/>
      <c r="K7" s="47">
        <v>3</v>
      </c>
      <c r="L7" s="47">
        <v>2</v>
      </c>
      <c r="M7" s="47">
        <v>0</v>
      </c>
      <c r="N7" s="47">
        <v>2</v>
      </c>
      <c r="O7" s="47">
        <v>0</v>
      </c>
      <c r="P7" s="48">
        <v>0</v>
      </c>
      <c r="Q7" s="48">
        <v>0</v>
      </c>
      <c r="R7" s="47">
        <v>1</v>
      </c>
      <c r="S7" s="47">
        <v>0</v>
      </c>
      <c r="T7" s="47">
        <v>3</v>
      </c>
      <c r="U7" s="47">
        <v>2</v>
      </c>
      <c r="V7" s="47">
        <v>2</v>
      </c>
      <c r="W7" s="48">
        <v>0.888889</v>
      </c>
      <c r="X7" s="48">
        <v>0.3333333333333333</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90" t="s">
        <v>355</v>
      </c>
      <c r="B2" s="93" t="s">
        <v>274</v>
      </c>
      <c r="C2" s="90">
        <f>VLOOKUP("~"&amp;GroupVertices[[#This Row],[Vertex]],Vertices[],MATCH("ID",Vertices[[#Headers],[Vertex]:[Vertex Group]],0),FALSE)</f>
        <v>30</v>
      </c>
    </row>
    <row r="3" spans="1:3" ht="15">
      <c r="A3" s="92" t="s">
        <v>355</v>
      </c>
      <c r="B3" s="93" t="s">
        <v>277</v>
      </c>
      <c r="C3" s="90">
        <f>VLOOKUP("~"&amp;GroupVertices[[#This Row],[Vertex]],Vertices[],MATCH("ID",Vertices[[#Headers],[Vertex]:[Vertex Group]],0),FALSE)</f>
        <v>32</v>
      </c>
    </row>
    <row r="4" spans="1:3" ht="15">
      <c r="A4" s="92" t="s">
        <v>355</v>
      </c>
      <c r="B4" s="93" t="s">
        <v>272</v>
      </c>
      <c r="C4" s="90">
        <f>VLOOKUP("~"&amp;GroupVertices[[#This Row],[Vertex]],Vertices[],MATCH("ID",Vertices[[#Headers],[Vertex]:[Vertex Group]],0),FALSE)</f>
        <v>29</v>
      </c>
    </row>
    <row r="5" spans="1:3" ht="15">
      <c r="A5" s="92" t="s">
        <v>355</v>
      </c>
      <c r="B5" s="93" t="s">
        <v>269</v>
      </c>
      <c r="C5" s="90">
        <f>VLOOKUP("~"&amp;GroupVertices[[#This Row],[Vertex]],Vertices[],MATCH("ID",Vertices[[#Headers],[Vertex]:[Vertex Group]],0),FALSE)</f>
        <v>13</v>
      </c>
    </row>
    <row r="6" spans="1:3" ht="15">
      <c r="A6" s="92" t="s">
        <v>355</v>
      </c>
      <c r="B6" s="93" t="s">
        <v>264</v>
      </c>
      <c r="C6" s="90">
        <f>VLOOKUP("~"&amp;GroupVertices[[#This Row],[Vertex]],Vertices[],MATCH("ID",Vertices[[#Headers],[Vertex]:[Vertex Group]],0),FALSE)</f>
        <v>26</v>
      </c>
    </row>
    <row r="7" spans="1:3" ht="15">
      <c r="A7" s="92" t="s">
        <v>355</v>
      </c>
      <c r="B7" s="93" t="s">
        <v>258</v>
      </c>
      <c r="C7" s="90">
        <f>VLOOKUP("~"&amp;GroupVertices[[#This Row],[Vertex]],Vertices[],MATCH("ID",Vertices[[#Headers],[Vertex]:[Vertex Group]],0),FALSE)</f>
        <v>23</v>
      </c>
    </row>
    <row r="8" spans="1:3" ht="15">
      <c r="A8" s="92" t="s">
        <v>355</v>
      </c>
      <c r="B8" s="93" t="s">
        <v>256</v>
      </c>
      <c r="C8" s="90">
        <f>VLOOKUP("~"&amp;GroupVertices[[#This Row],[Vertex]],Vertices[],MATCH("ID",Vertices[[#Headers],[Vertex]:[Vertex Group]],0),FALSE)</f>
        <v>21</v>
      </c>
    </row>
    <row r="9" spans="1:3" ht="15">
      <c r="A9" s="92" t="s">
        <v>355</v>
      </c>
      <c r="B9" s="93" t="s">
        <v>254</v>
      </c>
      <c r="C9" s="90">
        <f>VLOOKUP("~"&amp;GroupVertices[[#This Row],[Vertex]],Vertices[],MATCH("ID",Vertices[[#Headers],[Vertex]:[Vertex Group]],0),FALSE)</f>
        <v>20</v>
      </c>
    </row>
    <row r="10" spans="1:3" ht="15">
      <c r="A10" s="92" t="s">
        <v>355</v>
      </c>
      <c r="B10" s="93" t="s">
        <v>252</v>
      </c>
      <c r="C10" s="90">
        <f>VLOOKUP("~"&amp;GroupVertices[[#This Row],[Vertex]],Vertices[],MATCH("ID",Vertices[[#Headers],[Vertex]:[Vertex Group]],0),FALSE)</f>
        <v>19</v>
      </c>
    </row>
    <row r="11" spans="1:3" ht="15">
      <c r="A11" s="92" t="s">
        <v>356</v>
      </c>
      <c r="B11" s="93" t="s">
        <v>261</v>
      </c>
      <c r="C11" s="90">
        <f>VLOOKUP("~"&amp;GroupVertices[[#This Row],[Vertex]],Vertices[],MATCH("ID",Vertices[[#Headers],[Vertex]:[Vertex Group]],0),FALSE)</f>
        <v>9</v>
      </c>
    </row>
    <row r="12" spans="1:3" ht="15">
      <c r="A12" s="92" t="s">
        <v>356</v>
      </c>
      <c r="B12" s="93" t="s">
        <v>278</v>
      </c>
      <c r="C12" s="90">
        <f>VLOOKUP("~"&amp;GroupVertices[[#This Row],[Vertex]],Vertices[],MATCH("ID",Vertices[[#Headers],[Vertex]:[Vertex Group]],0),FALSE)</f>
        <v>17</v>
      </c>
    </row>
    <row r="13" spans="1:3" ht="15">
      <c r="A13" s="92" t="s">
        <v>356</v>
      </c>
      <c r="B13" s="93" t="s">
        <v>270</v>
      </c>
      <c r="C13" s="90">
        <f>VLOOKUP("~"&amp;GroupVertices[[#This Row],[Vertex]],Vertices[],MATCH("ID",Vertices[[#Headers],[Vertex]:[Vertex Group]],0),FALSE)</f>
        <v>28</v>
      </c>
    </row>
    <row r="14" spans="1:3" ht="15">
      <c r="A14" s="92" t="s">
        <v>356</v>
      </c>
      <c r="B14" s="93" t="s">
        <v>257</v>
      </c>
      <c r="C14" s="90">
        <f>VLOOKUP("~"&amp;GroupVertices[[#This Row],[Vertex]],Vertices[],MATCH("ID",Vertices[[#Headers],[Vertex]:[Vertex Group]],0),FALSE)</f>
        <v>7</v>
      </c>
    </row>
    <row r="15" spans="1:3" ht="15">
      <c r="A15" s="92" t="s">
        <v>356</v>
      </c>
      <c r="B15" s="93" t="s">
        <v>253</v>
      </c>
      <c r="C15" s="90">
        <f>VLOOKUP("~"&amp;GroupVertices[[#This Row],[Vertex]],Vertices[],MATCH("ID",Vertices[[#Headers],[Vertex]:[Vertex Group]],0),FALSE)</f>
        <v>5</v>
      </c>
    </row>
    <row r="16" spans="1:3" ht="15">
      <c r="A16" s="92" t="s">
        <v>356</v>
      </c>
      <c r="B16" s="93" t="s">
        <v>275</v>
      </c>
      <c r="C16" s="90">
        <f>VLOOKUP("~"&amp;GroupVertices[[#This Row],[Vertex]],Vertices[],MATCH("ID",Vertices[[#Headers],[Vertex]:[Vertex Group]],0),FALSE)</f>
        <v>16</v>
      </c>
    </row>
    <row r="17" spans="1:3" ht="15">
      <c r="A17" s="92" t="s">
        <v>356</v>
      </c>
      <c r="B17" s="93" t="s">
        <v>268</v>
      </c>
      <c r="C17" s="90">
        <f>VLOOKUP("~"&amp;GroupVertices[[#This Row],[Vertex]],Vertices[],MATCH("ID",Vertices[[#Headers],[Vertex]:[Vertex Group]],0),FALSE)</f>
        <v>27</v>
      </c>
    </row>
    <row r="18" spans="1:3" ht="15">
      <c r="A18" s="92" t="s">
        <v>357</v>
      </c>
      <c r="B18" s="93" t="s">
        <v>260</v>
      </c>
      <c r="C18" s="90">
        <f>VLOOKUP("~"&amp;GroupVertices[[#This Row],[Vertex]],Vertices[],MATCH("ID",Vertices[[#Headers],[Vertex]:[Vertex Group]],0),FALSE)</f>
        <v>24</v>
      </c>
    </row>
    <row r="19" spans="1:3" ht="15">
      <c r="A19" s="92" t="s">
        <v>357</v>
      </c>
      <c r="B19" s="93" t="s">
        <v>266</v>
      </c>
      <c r="C19" s="90">
        <f>VLOOKUP("~"&amp;GroupVertices[[#This Row],[Vertex]],Vertices[],MATCH("ID",Vertices[[#Headers],[Vertex]:[Vertex Group]],0),FALSE)</f>
        <v>11</v>
      </c>
    </row>
    <row r="20" spans="1:3" ht="15">
      <c r="A20" s="92" t="s">
        <v>357</v>
      </c>
      <c r="B20" s="93" t="s">
        <v>263</v>
      </c>
      <c r="C20" s="90">
        <f>VLOOKUP("~"&amp;GroupVertices[[#This Row],[Vertex]],Vertices[],MATCH("ID",Vertices[[#Headers],[Vertex]:[Vertex Group]],0),FALSE)</f>
        <v>10</v>
      </c>
    </row>
    <row r="21" spans="1:3" ht="15">
      <c r="A21" s="92" t="s">
        <v>357</v>
      </c>
      <c r="B21" s="93" t="s">
        <v>273</v>
      </c>
      <c r="C21" s="90">
        <f>VLOOKUP("~"&amp;GroupVertices[[#This Row],[Vertex]],Vertices[],MATCH("ID",Vertices[[#Headers],[Vertex]:[Vertex Group]],0),FALSE)</f>
        <v>15</v>
      </c>
    </row>
    <row r="22" spans="1:3" ht="15">
      <c r="A22" s="92" t="s">
        <v>357</v>
      </c>
      <c r="B22" s="93" t="s">
        <v>255</v>
      </c>
      <c r="C22" s="90">
        <f>VLOOKUP("~"&amp;GroupVertices[[#This Row],[Vertex]],Vertices[],MATCH("ID",Vertices[[#Headers],[Vertex]:[Vertex Group]],0),FALSE)</f>
        <v>6</v>
      </c>
    </row>
    <row r="23" spans="1:3" ht="15">
      <c r="A23" s="92" t="s">
        <v>357</v>
      </c>
      <c r="B23" s="93" t="s">
        <v>250</v>
      </c>
      <c r="C23" s="90">
        <f>VLOOKUP("~"&amp;GroupVertices[[#This Row],[Vertex]],Vertices[],MATCH("ID",Vertices[[#Headers],[Vertex]:[Vertex Group]],0),FALSE)</f>
        <v>18</v>
      </c>
    </row>
    <row r="24" spans="1:3" ht="15">
      <c r="A24" s="92" t="s">
        <v>358</v>
      </c>
      <c r="B24" s="93" t="s">
        <v>262</v>
      </c>
      <c r="C24" s="90">
        <f>VLOOKUP("~"&amp;GroupVertices[[#This Row],[Vertex]],Vertices[],MATCH("ID",Vertices[[#Headers],[Vertex]:[Vertex Group]],0),FALSE)</f>
        <v>25</v>
      </c>
    </row>
    <row r="25" spans="1:3" ht="15">
      <c r="A25" s="92" t="s">
        <v>358</v>
      </c>
      <c r="B25" s="93" t="s">
        <v>249</v>
      </c>
      <c r="C25" s="90">
        <f>VLOOKUP("~"&amp;GroupVertices[[#This Row],[Vertex]],Vertices[],MATCH("ID",Vertices[[#Headers],[Vertex]:[Vertex Group]],0),FALSE)</f>
        <v>3</v>
      </c>
    </row>
    <row r="26" spans="1:3" ht="15">
      <c r="A26" s="92" t="s">
        <v>358</v>
      </c>
      <c r="B26" s="93" t="s">
        <v>276</v>
      </c>
      <c r="C26" s="90">
        <f>VLOOKUP("~"&amp;GroupVertices[[#This Row],[Vertex]],Vertices[],MATCH("ID",Vertices[[#Headers],[Vertex]:[Vertex Group]],0),FALSE)</f>
        <v>31</v>
      </c>
    </row>
    <row r="27" spans="1:3" ht="15">
      <c r="A27" s="92" t="s">
        <v>358</v>
      </c>
      <c r="B27" s="93" t="s">
        <v>251</v>
      </c>
      <c r="C27" s="90">
        <f>VLOOKUP("~"&amp;GroupVertices[[#This Row],[Vertex]],Vertices[],MATCH("ID",Vertices[[#Headers],[Vertex]:[Vertex Group]],0),FALSE)</f>
        <v>4</v>
      </c>
    </row>
    <row r="28" spans="1:3" ht="15">
      <c r="A28" s="92" t="s">
        <v>359</v>
      </c>
      <c r="B28" s="93" t="s">
        <v>267</v>
      </c>
      <c r="C28" s="90">
        <f>VLOOKUP("~"&amp;GroupVertices[[#This Row],[Vertex]],Vertices[],MATCH("ID",Vertices[[#Headers],[Vertex]:[Vertex Group]],0),FALSE)</f>
        <v>12</v>
      </c>
    </row>
    <row r="29" spans="1:3" ht="15">
      <c r="A29" s="92" t="s">
        <v>359</v>
      </c>
      <c r="B29" s="93" t="s">
        <v>259</v>
      </c>
      <c r="C29" s="90">
        <f>VLOOKUP("~"&amp;GroupVertices[[#This Row],[Vertex]],Vertices[],MATCH("ID",Vertices[[#Headers],[Vertex]:[Vertex Group]],0),FALSE)</f>
        <v>8</v>
      </c>
    </row>
    <row r="30" spans="1:3" ht="15">
      <c r="A30" s="92" t="s">
        <v>359</v>
      </c>
      <c r="B30" s="93" t="s">
        <v>271</v>
      </c>
      <c r="C30" s="90">
        <f>VLOOKUP("~"&amp;GroupVertices[[#This Row],[Vertex]],Vertices[],MATCH("ID",Vertices[[#Headers],[Vertex]:[Vertex Group]],0),FALSE)</f>
        <v>14</v>
      </c>
    </row>
  </sheetData>
  <dataValidations count="3" xWindow="58" yWindow="226">
    <dataValidation allowBlank="1" showInputMessage="1" showErrorMessage="1" promptTitle="Group Name" prompt="Enter the name of the group.  The group name must also be entered on the Groups worksheet." sqref="A2:A30"/>
    <dataValidation allowBlank="1" showInputMessage="1" showErrorMessage="1" promptTitle="Vertex Name" prompt="Enter the name of a vertex to include in the group." sqref="B2:B30"/>
    <dataValidation allowBlank="1" showInputMessage="1" promptTitle="Vertex ID" prompt="This is the value of the hidden ID cell in the Vertices worksheet.  It gets filled in by the items on the NodeXL, Analysis, Groups menu." sqref="C2:C3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372</v>
      </c>
      <c r="B2" s="32" t="s">
        <v>248</v>
      </c>
      <c r="D2" s="30">
        <f>MIN(Vertices[Degree])</f>
        <v>1</v>
      </c>
      <c r="E2">
        <f>COUNTIF(Vertices[Degree],"&gt;= "&amp;D2)-COUNTIF(Vertices[Degree],"&gt;="&amp;D3)</f>
        <v>6</v>
      </c>
      <c r="F2" s="35">
        <f>MIN(Vertices[In-Degree])</f>
        <v>0</v>
      </c>
      <c r="G2" s="36">
        <f>COUNTIF(Vertices[In-Degree],"&gt;= "&amp;F2)-COUNTIF(Vertices[In-Degree],"&gt;="&amp;F3)</f>
        <v>0</v>
      </c>
      <c r="H2" s="35">
        <f>MIN(Vertices[Out-Degree])</f>
        <v>0</v>
      </c>
      <c r="I2" s="36">
        <f>COUNTIF(Vertices[Out-Degree],"&gt;= "&amp;H2)-COUNTIF(Vertices[Out-Degree],"&gt;="&amp;H3)</f>
        <v>0</v>
      </c>
      <c r="J2" s="35">
        <f>MIN(Vertices[Betweenness Centrality])</f>
        <v>0</v>
      </c>
      <c r="K2" s="36">
        <f>COUNTIF(Vertices[Betweenness Centrality],"&gt;= "&amp;J2)-COUNTIF(Vertices[Betweenness Centrality],"&gt;="&amp;J3)</f>
        <v>7</v>
      </c>
      <c r="L2" s="35">
        <f>MIN(Vertices[Closeness Centrality])</f>
        <v>0.239316</v>
      </c>
      <c r="M2" s="36">
        <f>COUNTIF(Vertices[Closeness Centrality],"&gt;= "&amp;L2)-COUNTIF(Vertices[Closeness Centrality],"&gt;="&amp;L3)</f>
        <v>1</v>
      </c>
      <c r="N2" s="35">
        <f>MIN(Vertices[Eigenvector Centrality])</f>
        <v>0.018205</v>
      </c>
      <c r="O2" s="36">
        <f>COUNTIF(Vertices[Eigenvector Centrality],"&gt;= "&amp;N2)-COUNTIF(Vertices[Eigenvector Centrality],"&gt;="&amp;N3)</f>
        <v>1</v>
      </c>
      <c r="P2" s="35">
        <f>MIN(Vertices[PageRank])</f>
        <v>0.030249</v>
      </c>
      <c r="Q2" s="36">
        <f>COUNTIF(Vertices[PageRank],"&gt;= "&amp;P2)-COUNTIF(Vertices[PageRank],"&gt;="&amp;P3)</f>
        <v>1</v>
      </c>
      <c r="R2" s="35">
        <f>MIN(Vertices[Clustering Coefficient])</f>
        <v>0</v>
      </c>
      <c r="S2" s="41">
        <f>COUNTIF(Vertices[Clustering Coefficient],"&gt;= "&amp;R2)-COUNTIF(Vertices[Clustering Coefficient],"&gt;="&amp;R3)</f>
        <v>21</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96"/>
      <c r="B3" s="96"/>
      <c r="D3" s="30">
        <f aca="true" t="shared" si="1" ref="D3:D35">D2+($D$36-$D$2)/BinDivisor</f>
        <v>1.1764705882352942</v>
      </c>
      <c r="E3">
        <f>COUNTIF(Vertices[Degree],"&gt;= "&amp;D3)-COUNTIF(Vertices[Degree],"&gt;="&amp;D4)</f>
        <v>0</v>
      </c>
      <c r="F3" s="37">
        <f aca="true" t="shared" si="2" ref="F3:F35">F2+($F$36-$F$2)/BinDivisor</f>
        <v>0</v>
      </c>
      <c r="G3" s="38">
        <f>COUNTIF(Vertices[In-Degree],"&gt;= "&amp;F3)-COUNTIF(Vertices[In-Degree],"&gt;="&amp;F4)</f>
        <v>0</v>
      </c>
      <c r="H3" s="37">
        <f aca="true" t="shared" si="3" ref="H3:H35">H2+($H$36-$H$2)/BinDivisor</f>
        <v>0</v>
      </c>
      <c r="I3" s="38">
        <f>COUNTIF(Vertices[Out-Degree],"&gt;= "&amp;H3)-COUNTIF(Vertices[Out-Degree],"&gt;="&amp;H4)</f>
        <v>0</v>
      </c>
      <c r="J3" s="37">
        <f aca="true" t="shared" si="4" ref="J3:J35">J2+($J$36-$J$2)/BinDivisor</f>
        <v>7.714705882352941</v>
      </c>
      <c r="K3" s="38">
        <f>COUNTIF(Vertices[Betweenness Centrality],"&gt;= "&amp;J3)-COUNTIF(Vertices[Betweenness Centrality],"&gt;="&amp;J4)</f>
        <v>2</v>
      </c>
      <c r="L3" s="37">
        <f aca="true" t="shared" si="5" ref="L3:L35">L2+($L$36-$L$2)/BinDivisor</f>
        <v>0.24577776470588236</v>
      </c>
      <c r="M3" s="38">
        <f>COUNTIF(Vertices[Closeness Centrality],"&gt;= "&amp;L3)-COUNTIF(Vertices[Closeness Centrality],"&gt;="&amp;L4)</f>
        <v>1</v>
      </c>
      <c r="N3" s="37">
        <f aca="true" t="shared" si="6" ref="N3:N35">N2+($N$36-$N$2)/BinDivisor</f>
        <v>0.028469441176470586</v>
      </c>
      <c r="O3" s="38">
        <f>COUNTIF(Vertices[Eigenvector Centrality],"&gt;= "&amp;N3)-COUNTIF(Vertices[Eigenvector Centrality],"&gt;="&amp;N4)</f>
        <v>2</v>
      </c>
      <c r="P3" s="37">
        <f aca="true" t="shared" si="7" ref="P3:P35">P2+($P$36-$P$2)/BinDivisor</f>
        <v>0.030648029411764706</v>
      </c>
      <c r="Q3" s="38">
        <f>COUNTIF(Vertices[PageRank],"&gt;= "&amp;P3)-COUNTIF(Vertices[PageRank],"&gt;="&amp;P4)</f>
        <v>2</v>
      </c>
      <c r="R3" s="37">
        <f aca="true" t="shared" si="8" ref="R3:R35">R2+($R$36-$R$2)/BinDivisor</f>
        <v>0.014705882352941176</v>
      </c>
      <c r="S3" s="42">
        <f>COUNTIF(Vertices[Clustering Coefficient],"&gt;= "&amp;R3)-COUNTIF(Vertices[Clustering Coefficient],"&gt;="&amp;R4)</f>
        <v>1</v>
      </c>
      <c r="T3" s="37" t="e">
        <f aca="true" t="shared" si="9" ref="T3:T35">T2+($T$36-$T$2)/BinDivisor</f>
        <v>#REF!</v>
      </c>
      <c r="U3" s="38" t="e">
        <f ca="1" t="shared" si="0"/>
        <v>#REF!</v>
      </c>
      <c r="W3" t="s">
        <v>125</v>
      </c>
      <c r="X3" t="s">
        <v>85</v>
      </c>
    </row>
    <row r="4" spans="1:24" ht="15">
      <c r="A4" s="32" t="s">
        <v>146</v>
      </c>
      <c r="B4" s="32">
        <v>29</v>
      </c>
      <c r="D4" s="30">
        <f t="shared" si="1"/>
        <v>1.3529411764705883</v>
      </c>
      <c r="E4">
        <f>COUNTIF(Vertices[Degree],"&gt;= "&amp;D4)-COUNTIF(Vertices[Degree],"&gt;="&amp;D5)</f>
        <v>0</v>
      </c>
      <c r="F4" s="35">
        <f t="shared" si="2"/>
        <v>0</v>
      </c>
      <c r="G4" s="36">
        <f>COUNTIF(Vertices[In-Degree],"&gt;= "&amp;F4)-COUNTIF(Vertices[In-Degree],"&gt;="&amp;F5)</f>
        <v>0</v>
      </c>
      <c r="H4" s="35">
        <f t="shared" si="3"/>
        <v>0</v>
      </c>
      <c r="I4" s="36">
        <f>COUNTIF(Vertices[Out-Degree],"&gt;= "&amp;H4)-COUNTIF(Vertices[Out-Degree],"&gt;="&amp;H5)</f>
        <v>0</v>
      </c>
      <c r="J4" s="35">
        <f t="shared" si="4"/>
        <v>15.429411764705883</v>
      </c>
      <c r="K4" s="36">
        <f>COUNTIF(Vertices[Betweenness Centrality],"&gt;= "&amp;J4)-COUNTIF(Vertices[Betweenness Centrality],"&gt;="&amp;J5)</f>
        <v>3</v>
      </c>
      <c r="L4" s="35">
        <f t="shared" si="5"/>
        <v>0.2522395294117647</v>
      </c>
      <c r="M4" s="36">
        <f>COUNTIF(Vertices[Closeness Centrality],"&gt;= "&amp;L4)-COUNTIF(Vertices[Closeness Centrality],"&gt;="&amp;L5)</f>
        <v>3</v>
      </c>
      <c r="N4" s="35">
        <f t="shared" si="6"/>
        <v>0.038733882352941174</v>
      </c>
      <c r="O4" s="36">
        <f>COUNTIF(Vertices[Eigenvector Centrality],"&gt;= "&amp;N4)-COUNTIF(Vertices[Eigenvector Centrality],"&gt;="&amp;N5)</f>
        <v>2</v>
      </c>
      <c r="P4" s="35">
        <f t="shared" si="7"/>
        <v>0.03104705882352941</v>
      </c>
      <c r="Q4" s="36">
        <f>COUNTIF(Vertices[PageRank],"&gt;= "&amp;P4)-COUNTIF(Vertices[PageRank],"&gt;="&amp;P5)</f>
        <v>3</v>
      </c>
      <c r="R4" s="35">
        <f t="shared" si="8"/>
        <v>0.029411764705882353</v>
      </c>
      <c r="S4" s="41">
        <f>COUNTIF(Vertices[Clustering Coefficient],"&gt;= "&amp;R4)-COUNTIF(Vertices[Clustering Coefficient],"&gt;="&amp;R5)</f>
        <v>0</v>
      </c>
      <c r="T4" s="35" t="e">
        <f ca="1" t="shared" si="9"/>
        <v>#REF!</v>
      </c>
      <c r="U4" s="36" t="e">
        <f ca="1" t="shared" si="0"/>
        <v>#REF!</v>
      </c>
      <c r="W4" t="s">
        <v>126</v>
      </c>
      <c r="X4" t="s">
        <v>128</v>
      </c>
    </row>
    <row r="5" spans="1:21" ht="15">
      <c r="A5" s="96"/>
      <c r="B5" s="96"/>
      <c r="D5" s="30">
        <f t="shared" si="1"/>
        <v>1.5294117647058825</v>
      </c>
      <c r="E5">
        <f>COUNTIF(Vertices[Degree],"&gt;= "&amp;D5)-COUNTIF(Vertices[Degree],"&gt;="&amp;D6)</f>
        <v>0</v>
      </c>
      <c r="F5" s="37">
        <f t="shared" si="2"/>
        <v>0</v>
      </c>
      <c r="G5" s="38">
        <f>COUNTIF(Vertices[In-Degree],"&gt;= "&amp;F5)-COUNTIF(Vertices[In-Degree],"&gt;="&amp;F6)</f>
        <v>0</v>
      </c>
      <c r="H5" s="37">
        <f t="shared" si="3"/>
        <v>0</v>
      </c>
      <c r="I5" s="38">
        <f>COUNTIF(Vertices[Out-Degree],"&gt;= "&amp;H5)-COUNTIF(Vertices[Out-Degree],"&gt;="&amp;H6)</f>
        <v>0</v>
      </c>
      <c r="J5" s="37">
        <f t="shared" si="4"/>
        <v>23.144117647058824</v>
      </c>
      <c r="K5" s="38">
        <f>COUNTIF(Vertices[Betweenness Centrality],"&gt;= "&amp;J5)-COUNTIF(Vertices[Betweenness Centrality],"&gt;="&amp;J6)</f>
        <v>0</v>
      </c>
      <c r="L5" s="37">
        <f t="shared" si="5"/>
        <v>0.25870129411764703</v>
      </c>
      <c r="M5" s="38">
        <f>COUNTIF(Vertices[Closeness Centrality],"&gt;= "&amp;L5)-COUNTIF(Vertices[Closeness Centrality],"&gt;="&amp;L6)</f>
        <v>0</v>
      </c>
      <c r="N5" s="37">
        <f t="shared" si="6"/>
        <v>0.04899832352941176</v>
      </c>
      <c r="O5" s="38">
        <f>COUNTIF(Vertices[Eigenvector Centrality],"&gt;= "&amp;N5)-COUNTIF(Vertices[Eigenvector Centrality],"&gt;="&amp;N6)</f>
        <v>2</v>
      </c>
      <c r="P5" s="37">
        <f t="shared" si="7"/>
        <v>0.031446088235294115</v>
      </c>
      <c r="Q5" s="38">
        <f>COUNTIF(Vertices[PageRank],"&gt;= "&amp;P5)-COUNTIF(Vertices[PageRank],"&gt;="&amp;P6)</f>
        <v>0</v>
      </c>
      <c r="R5" s="37">
        <f t="shared" si="8"/>
        <v>0.044117647058823525</v>
      </c>
      <c r="S5" s="42">
        <f>COUNTIF(Vertices[Clustering Coefficient],"&gt;= "&amp;R5)-COUNTIF(Vertices[Clustering Coefficient],"&gt;="&amp;R6)</f>
        <v>1</v>
      </c>
      <c r="T5" s="37" t="e">
        <f ca="1" t="shared" si="9"/>
        <v>#REF!</v>
      </c>
      <c r="U5" s="38" t="e">
        <f ca="1" t="shared" si="0"/>
        <v>#REF!</v>
      </c>
    </row>
    <row r="6" spans="1:21" ht="15">
      <c r="A6" s="32" t="s">
        <v>148</v>
      </c>
      <c r="B6" s="32">
        <v>43</v>
      </c>
      <c r="D6" s="30">
        <f t="shared" si="1"/>
        <v>1.7058823529411766</v>
      </c>
      <c r="E6">
        <f>COUNTIF(Vertices[Degree],"&gt;= "&amp;D6)-COUNTIF(Vertices[Degree],"&gt;="&amp;D7)</f>
        <v>0</v>
      </c>
      <c r="F6" s="35">
        <f t="shared" si="2"/>
        <v>0</v>
      </c>
      <c r="G6" s="36">
        <f>COUNTIF(Vertices[In-Degree],"&gt;= "&amp;F6)-COUNTIF(Vertices[In-Degree],"&gt;="&amp;F7)</f>
        <v>0</v>
      </c>
      <c r="H6" s="35">
        <f t="shared" si="3"/>
        <v>0</v>
      </c>
      <c r="I6" s="36">
        <f>COUNTIF(Vertices[Out-Degree],"&gt;= "&amp;H6)-COUNTIF(Vertices[Out-Degree],"&gt;="&amp;H7)</f>
        <v>0</v>
      </c>
      <c r="J6" s="35">
        <f t="shared" si="4"/>
        <v>30.858823529411765</v>
      </c>
      <c r="K6" s="36">
        <f>COUNTIF(Vertices[Betweenness Centrality],"&gt;= "&amp;J6)-COUNTIF(Vertices[Betweenness Centrality],"&gt;="&amp;J7)</f>
        <v>0</v>
      </c>
      <c r="L6" s="35">
        <f t="shared" si="5"/>
        <v>0.26516305882352936</v>
      </c>
      <c r="M6" s="36">
        <f>COUNTIF(Vertices[Closeness Centrality],"&gt;= "&amp;L6)-COUNTIF(Vertices[Closeness Centrality],"&gt;="&amp;L7)</f>
        <v>0</v>
      </c>
      <c r="N6" s="35">
        <f t="shared" si="6"/>
        <v>0.05926276470588235</v>
      </c>
      <c r="O6" s="36">
        <f>COUNTIF(Vertices[Eigenvector Centrality],"&gt;= "&amp;N6)-COUNTIF(Vertices[Eigenvector Centrality],"&gt;="&amp;N7)</f>
        <v>0</v>
      </c>
      <c r="P6" s="35">
        <f t="shared" si="7"/>
        <v>0.03184511764705882</v>
      </c>
      <c r="Q6" s="36">
        <f>COUNTIF(Vertices[PageRank],"&gt;= "&amp;P6)-COUNTIF(Vertices[PageRank],"&gt;="&amp;P7)</f>
        <v>1</v>
      </c>
      <c r="R6" s="35">
        <f t="shared" si="8"/>
        <v>0.058823529411764705</v>
      </c>
      <c r="S6" s="41">
        <f>COUNTIF(Vertices[Clustering Coefficient],"&gt;= "&amp;R6)-COUNTIF(Vertices[Clustering Coefficient],"&gt;="&amp;R7)</f>
        <v>0</v>
      </c>
      <c r="T6" s="35" t="e">
        <f ca="1" t="shared" si="9"/>
        <v>#REF!</v>
      </c>
      <c r="U6" s="36" t="e">
        <f ca="1" t="shared" si="0"/>
        <v>#REF!</v>
      </c>
    </row>
    <row r="7" spans="1:21" ht="15">
      <c r="A7" s="32" t="s">
        <v>149</v>
      </c>
      <c r="B7" s="32">
        <v>0</v>
      </c>
      <c r="D7" s="30">
        <f t="shared" si="1"/>
        <v>1.8823529411764708</v>
      </c>
      <c r="E7">
        <f>COUNTIF(Vertices[Degree],"&gt;= "&amp;D7)-COUNTIF(Vertices[Degree],"&gt;="&amp;D8)</f>
        <v>4</v>
      </c>
      <c r="F7" s="37">
        <f t="shared" si="2"/>
        <v>0</v>
      </c>
      <c r="G7" s="38">
        <f>COUNTIF(Vertices[In-Degree],"&gt;= "&amp;F7)-COUNTIF(Vertices[In-Degree],"&gt;="&amp;F8)</f>
        <v>0</v>
      </c>
      <c r="H7" s="37">
        <f t="shared" si="3"/>
        <v>0</v>
      </c>
      <c r="I7" s="38">
        <f>COUNTIF(Vertices[Out-Degree],"&gt;= "&amp;H7)-COUNTIF(Vertices[Out-Degree],"&gt;="&amp;H8)</f>
        <v>0</v>
      </c>
      <c r="J7" s="37">
        <f t="shared" si="4"/>
        <v>38.57352941176471</v>
      </c>
      <c r="K7" s="38">
        <f>COUNTIF(Vertices[Betweenness Centrality],"&gt;= "&amp;J7)-COUNTIF(Vertices[Betweenness Centrality],"&gt;="&amp;J8)</f>
        <v>2</v>
      </c>
      <c r="L7" s="37">
        <f t="shared" si="5"/>
        <v>0.2716248235294117</v>
      </c>
      <c r="M7" s="38">
        <f>COUNTIF(Vertices[Closeness Centrality],"&gt;= "&amp;L7)-COUNTIF(Vertices[Closeness Centrality],"&gt;="&amp;L8)</f>
        <v>0</v>
      </c>
      <c r="N7" s="37">
        <f t="shared" si="6"/>
        <v>0.06952720588235294</v>
      </c>
      <c r="O7" s="38">
        <f>COUNTIF(Vertices[Eigenvector Centrality],"&gt;= "&amp;N7)-COUNTIF(Vertices[Eigenvector Centrality],"&gt;="&amp;N8)</f>
        <v>2</v>
      </c>
      <c r="P7" s="37">
        <f t="shared" si="7"/>
        <v>0.03224414705882353</v>
      </c>
      <c r="Q7" s="38">
        <f>COUNTIF(Vertices[PageRank],"&gt;= "&amp;P7)-COUNTIF(Vertices[PageRank],"&gt;="&amp;P8)</f>
        <v>1</v>
      </c>
      <c r="R7" s="37">
        <f t="shared" si="8"/>
        <v>0.07352941176470588</v>
      </c>
      <c r="S7" s="42">
        <f>COUNTIF(Vertices[Clustering Coefficient],"&gt;= "&amp;R7)-COUNTIF(Vertices[Clustering Coefficient],"&gt;="&amp;R8)</f>
        <v>1</v>
      </c>
      <c r="T7" s="37" t="e">
        <f ca="1" t="shared" si="9"/>
        <v>#REF!</v>
      </c>
      <c r="U7" s="38" t="e">
        <f ca="1" t="shared" si="0"/>
        <v>#REF!</v>
      </c>
    </row>
    <row r="8" spans="1:21" ht="15">
      <c r="A8" s="32" t="s">
        <v>150</v>
      </c>
      <c r="B8" s="32">
        <v>43</v>
      </c>
      <c r="D8" s="30">
        <f t="shared" si="1"/>
        <v>2.058823529411765</v>
      </c>
      <c r="E8">
        <f>COUNTIF(Vertices[Degree],"&gt;= "&amp;D8)-COUNTIF(Vertices[Degree],"&gt;="&amp;D9)</f>
        <v>0</v>
      </c>
      <c r="F8" s="35">
        <f t="shared" si="2"/>
        <v>0</v>
      </c>
      <c r="G8" s="36">
        <f>COUNTIF(Vertices[In-Degree],"&gt;= "&amp;F8)-COUNTIF(Vertices[In-Degree],"&gt;="&amp;F9)</f>
        <v>0</v>
      </c>
      <c r="H8" s="35">
        <f t="shared" si="3"/>
        <v>0</v>
      </c>
      <c r="I8" s="36">
        <f>COUNTIF(Vertices[Out-Degree],"&gt;= "&amp;H8)-COUNTIF(Vertices[Out-Degree],"&gt;="&amp;H9)</f>
        <v>0</v>
      </c>
      <c r="J8" s="35">
        <f t="shared" si="4"/>
        <v>46.288235294117655</v>
      </c>
      <c r="K8" s="36">
        <f>COUNTIF(Vertices[Betweenness Centrality],"&gt;= "&amp;J8)-COUNTIF(Vertices[Betweenness Centrality],"&gt;="&amp;J9)</f>
        <v>4</v>
      </c>
      <c r="L8" s="35">
        <f t="shared" si="5"/>
        <v>0.27808658823529403</v>
      </c>
      <c r="M8" s="36">
        <f>COUNTIF(Vertices[Closeness Centrality],"&gt;= "&amp;L8)-COUNTIF(Vertices[Closeness Centrality],"&gt;="&amp;L9)</f>
        <v>0</v>
      </c>
      <c r="N8" s="35">
        <f t="shared" si="6"/>
        <v>0.07979164705882352</v>
      </c>
      <c r="O8" s="36">
        <f>COUNTIF(Vertices[Eigenvector Centrality],"&gt;= "&amp;N8)-COUNTIF(Vertices[Eigenvector Centrality],"&gt;="&amp;N9)</f>
        <v>2</v>
      </c>
      <c r="P8" s="35">
        <f t="shared" si="7"/>
        <v>0.03264317647058824</v>
      </c>
      <c r="Q8" s="36">
        <f>COUNTIF(Vertices[PageRank],"&gt;= "&amp;P8)-COUNTIF(Vertices[PageRank],"&gt;="&amp;P9)</f>
        <v>4</v>
      </c>
      <c r="R8" s="35">
        <f t="shared" si="8"/>
        <v>0.08823529411764706</v>
      </c>
      <c r="S8" s="41">
        <f>COUNTIF(Vertices[Clustering Coefficient],"&gt;= "&amp;R8)-COUNTIF(Vertices[Clustering Coefficient],"&gt;="&amp;R9)</f>
        <v>2</v>
      </c>
      <c r="T8" s="35" t="e">
        <f ca="1" t="shared" si="9"/>
        <v>#REF!</v>
      </c>
      <c r="U8" s="36" t="e">
        <f ca="1" t="shared" si="0"/>
        <v>#REF!</v>
      </c>
    </row>
    <row r="9" spans="1:21" ht="15">
      <c r="A9" s="96"/>
      <c r="B9" s="96"/>
      <c r="D9" s="30">
        <f t="shared" si="1"/>
        <v>2.235294117647059</v>
      </c>
      <c r="E9">
        <f>COUNTIF(Vertices[Degree],"&gt;= "&amp;D9)-COUNTIF(Vertices[Degree],"&gt;="&amp;D10)</f>
        <v>0</v>
      </c>
      <c r="F9" s="37">
        <f t="shared" si="2"/>
        <v>0</v>
      </c>
      <c r="G9" s="38">
        <f>COUNTIF(Vertices[In-Degree],"&gt;= "&amp;F9)-COUNTIF(Vertices[In-Degree],"&gt;="&amp;F10)</f>
        <v>0</v>
      </c>
      <c r="H9" s="37">
        <f t="shared" si="3"/>
        <v>0</v>
      </c>
      <c r="I9" s="38">
        <f>COUNTIF(Vertices[Out-Degree],"&gt;= "&amp;H9)-COUNTIF(Vertices[Out-Degree],"&gt;="&amp;H10)</f>
        <v>0</v>
      </c>
      <c r="J9" s="37">
        <f t="shared" si="4"/>
        <v>54.0029411764706</v>
      </c>
      <c r="K9" s="38">
        <f>COUNTIF(Vertices[Betweenness Centrality],"&gt;= "&amp;J9)-COUNTIF(Vertices[Betweenness Centrality],"&gt;="&amp;J10)</f>
        <v>0</v>
      </c>
      <c r="L9" s="37">
        <f t="shared" si="5"/>
        <v>0.28454835294117636</v>
      </c>
      <c r="M9" s="38">
        <f>COUNTIF(Vertices[Closeness Centrality],"&gt;= "&amp;L9)-COUNTIF(Vertices[Closeness Centrality],"&gt;="&amp;L10)</f>
        <v>0</v>
      </c>
      <c r="N9" s="37">
        <f t="shared" si="6"/>
        <v>0.09005608823529411</v>
      </c>
      <c r="O9" s="38">
        <f>COUNTIF(Vertices[Eigenvector Centrality],"&gt;= "&amp;N9)-COUNTIF(Vertices[Eigenvector Centrality],"&gt;="&amp;N10)</f>
        <v>1</v>
      </c>
      <c r="P9" s="37">
        <f t="shared" si="7"/>
        <v>0.033042205882352946</v>
      </c>
      <c r="Q9" s="38">
        <f>COUNTIF(Vertices[PageRank],"&gt;= "&amp;P9)-COUNTIF(Vertices[PageRank],"&gt;="&amp;P10)</f>
        <v>0</v>
      </c>
      <c r="R9" s="37">
        <f t="shared" si="8"/>
        <v>0.10294117647058824</v>
      </c>
      <c r="S9" s="42">
        <f>COUNTIF(Vertices[Clustering Coefficient],"&gt;= "&amp;R9)-COUNTIF(Vertices[Clustering Coefficient],"&gt;="&amp;R10)</f>
        <v>0</v>
      </c>
      <c r="T9" s="37" t="e">
        <f ca="1" t="shared" si="9"/>
        <v>#REF!</v>
      </c>
      <c r="U9" s="38" t="e">
        <f ca="1" t="shared" si="0"/>
        <v>#REF!</v>
      </c>
    </row>
    <row r="10" spans="1:21" ht="15">
      <c r="A10" s="32" t="s">
        <v>151</v>
      </c>
      <c r="B10" s="32">
        <v>0</v>
      </c>
      <c r="D10" s="30">
        <f t="shared" si="1"/>
        <v>2.411764705882353</v>
      </c>
      <c r="E10">
        <f>COUNTIF(Vertices[Degree],"&gt;= "&amp;D10)-COUNTIF(Vertices[Degree],"&gt;="&amp;D11)</f>
        <v>0</v>
      </c>
      <c r="F10" s="35">
        <f t="shared" si="2"/>
        <v>0</v>
      </c>
      <c r="G10" s="36">
        <f>COUNTIF(Vertices[In-Degree],"&gt;= "&amp;F10)-COUNTIF(Vertices[In-Degree],"&gt;="&amp;F11)</f>
        <v>0</v>
      </c>
      <c r="H10" s="35">
        <f t="shared" si="3"/>
        <v>0</v>
      </c>
      <c r="I10" s="36">
        <f>COUNTIF(Vertices[Out-Degree],"&gt;= "&amp;H10)-COUNTIF(Vertices[Out-Degree],"&gt;="&amp;H11)</f>
        <v>0</v>
      </c>
      <c r="J10" s="35">
        <f t="shared" si="4"/>
        <v>61.717647058823545</v>
      </c>
      <c r="K10" s="36">
        <f>COUNTIF(Vertices[Betweenness Centrality],"&gt;= "&amp;J10)-COUNTIF(Vertices[Betweenness Centrality],"&gt;="&amp;J11)</f>
        <v>3</v>
      </c>
      <c r="L10" s="35">
        <f t="shared" si="5"/>
        <v>0.2910101176470587</v>
      </c>
      <c r="M10" s="36">
        <f>COUNTIF(Vertices[Closeness Centrality],"&gt;= "&amp;L10)-COUNTIF(Vertices[Closeness Centrality],"&gt;="&amp;L11)</f>
        <v>3</v>
      </c>
      <c r="N10" s="35">
        <f t="shared" si="6"/>
        <v>0.1003205294117647</v>
      </c>
      <c r="O10" s="36">
        <f>COUNTIF(Vertices[Eigenvector Centrality],"&gt;= "&amp;N10)-COUNTIF(Vertices[Eigenvector Centrality],"&gt;="&amp;N11)</f>
        <v>0</v>
      </c>
      <c r="P10" s="35">
        <f t="shared" si="7"/>
        <v>0.033441235294117654</v>
      </c>
      <c r="Q10" s="36">
        <f>COUNTIF(Vertices[PageRank],"&gt;= "&amp;P10)-COUNTIF(Vertices[PageRank],"&gt;="&amp;P11)</f>
        <v>2</v>
      </c>
      <c r="R10" s="35">
        <f t="shared" si="8"/>
        <v>0.11764705882352942</v>
      </c>
      <c r="S10" s="41">
        <f>COUNTIF(Vertices[Clustering Coefficient],"&gt;= "&amp;R10)-COUNTIF(Vertices[Clustering Coefficient],"&gt;="&amp;R11)</f>
        <v>0</v>
      </c>
      <c r="T10" s="35" t="e">
        <f ca="1" t="shared" si="9"/>
        <v>#REF!</v>
      </c>
      <c r="U10" s="36" t="e">
        <f ca="1" t="shared" si="0"/>
        <v>#REF!</v>
      </c>
    </row>
    <row r="11" spans="1:21" ht="15">
      <c r="A11" s="96"/>
      <c r="B11" s="96"/>
      <c r="D11" s="30">
        <f t="shared" si="1"/>
        <v>2.5882352941176467</v>
      </c>
      <c r="E11">
        <f>COUNTIF(Vertices[Degree],"&gt;= "&amp;D11)-COUNTIF(Vertices[Degree],"&gt;="&amp;D12)</f>
        <v>0</v>
      </c>
      <c r="F11" s="37">
        <f t="shared" si="2"/>
        <v>0</v>
      </c>
      <c r="G11" s="38">
        <f>COUNTIF(Vertices[In-Degree],"&gt;= "&amp;F11)-COUNTIF(Vertices[In-Degree],"&gt;="&amp;F12)</f>
        <v>0</v>
      </c>
      <c r="H11" s="37">
        <f t="shared" si="3"/>
        <v>0</v>
      </c>
      <c r="I11" s="38">
        <f>COUNTIF(Vertices[Out-Degree],"&gt;= "&amp;H11)-COUNTIF(Vertices[Out-Degree],"&gt;="&amp;H12)</f>
        <v>0</v>
      </c>
      <c r="J11" s="37">
        <f t="shared" si="4"/>
        <v>69.43235294117649</v>
      </c>
      <c r="K11" s="38">
        <f>COUNTIF(Vertices[Betweenness Centrality],"&gt;= "&amp;J11)-COUNTIF(Vertices[Betweenness Centrality],"&gt;="&amp;J12)</f>
        <v>0</v>
      </c>
      <c r="L11" s="37">
        <f t="shared" si="5"/>
        <v>0.29747188235294103</v>
      </c>
      <c r="M11" s="38">
        <f>COUNTIF(Vertices[Closeness Centrality],"&gt;= "&amp;L11)-COUNTIF(Vertices[Closeness Centrality],"&gt;="&amp;L12)</f>
        <v>1</v>
      </c>
      <c r="N11" s="37">
        <f t="shared" si="6"/>
        <v>0.11058497058823528</v>
      </c>
      <c r="O11" s="38">
        <f>COUNTIF(Vertices[Eigenvector Centrality],"&gt;= "&amp;N11)-COUNTIF(Vertices[Eigenvector Centrality],"&gt;="&amp;N12)</f>
        <v>1</v>
      </c>
      <c r="P11" s="37">
        <f t="shared" si="7"/>
        <v>0.03384026470588236</v>
      </c>
      <c r="Q11" s="38">
        <f>COUNTIF(Vertices[PageRank],"&gt;= "&amp;P11)-COUNTIF(Vertices[PageRank],"&gt;="&amp;P12)</f>
        <v>0</v>
      </c>
      <c r="R11" s="37">
        <f t="shared" si="8"/>
        <v>0.1323529411764706</v>
      </c>
      <c r="S11" s="42">
        <f>COUNTIF(Vertices[Clustering Coefficient],"&gt;= "&amp;R11)-COUNTIF(Vertices[Clustering Coefficient],"&gt;="&amp;R12)</f>
        <v>0</v>
      </c>
      <c r="T11" s="37" t="e">
        <f ca="1" t="shared" si="9"/>
        <v>#REF!</v>
      </c>
      <c r="U11" s="38" t="e">
        <f ca="1" t="shared" si="0"/>
        <v>#REF!</v>
      </c>
    </row>
    <row r="12" spans="1:21" ht="15">
      <c r="A12" s="32" t="s">
        <v>170</v>
      </c>
      <c r="B12" s="32">
        <v>0</v>
      </c>
      <c r="D12" s="30">
        <f t="shared" si="1"/>
        <v>2.7647058823529407</v>
      </c>
      <c r="E12">
        <f>COUNTIF(Vertices[Degree],"&gt;= "&amp;D12)-COUNTIF(Vertices[Degree],"&gt;="&amp;D13)</f>
        <v>0</v>
      </c>
      <c r="F12" s="35">
        <f t="shared" si="2"/>
        <v>0</v>
      </c>
      <c r="G12" s="36">
        <f>COUNTIF(Vertices[In-Degree],"&gt;= "&amp;F12)-COUNTIF(Vertices[In-Degree],"&gt;="&amp;F13)</f>
        <v>0</v>
      </c>
      <c r="H12" s="35">
        <f t="shared" si="3"/>
        <v>0</v>
      </c>
      <c r="I12" s="36">
        <f>COUNTIF(Vertices[Out-Degree],"&gt;= "&amp;H12)-COUNTIF(Vertices[Out-Degree],"&gt;="&amp;H13)</f>
        <v>0</v>
      </c>
      <c r="J12" s="35">
        <f t="shared" si="4"/>
        <v>77.14705882352943</v>
      </c>
      <c r="K12" s="36">
        <f>COUNTIF(Vertices[Betweenness Centrality],"&gt;= "&amp;J12)-COUNTIF(Vertices[Betweenness Centrality],"&gt;="&amp;J13)</f>
        <v>0</v>
      </c>
      <c r="L12" s="35">
        <f t="shared" si="5"/>
        <v>0.30393364705882336</v>
      </c>
      <c r="M12" s="36">
        <f>COUNTIF(Vertices[Closeness Centrality],"&gt;= "&amp;L12)-COUNTIF(Vertices[Closeness Centrality],"&gt;="&amp;L13)</f>
        <v>0</v>
      </c>
      <c r="N12" s="35">
        <f t="shared" si="6"/>
        <v>0.12084941176470587</v>
      </c>
      <c r="O12" s="36">
        <f>COUNTIF(Vertices[Eigenvector Centrality],"&gt;= "&amp;N12)-COUNTIF(Vertices[Eigenvector Centrality],"&gt;="&amp;N13)</f>
        <v>0</v>
      </c>
      <c r="P12" s="35">
        <f t="shared" si="7"/>
        <v>0.03423929411764707</v>
      </c>
      <c r="Q12" s="36">
        <f>COUNTIF(Vertices[PageRank],"&gt;= "&amp;P12)-COUNTIF(Vertices[PageRank],"&gt;="&amp;P13)</f>
        <v>2</v>
      </c>
      <c r="R12" s="35">
        <f t="shared" si="8"/>
        <v>0.14705882352941177</v>
      </c>
      <c r="S12" s="41">
        <f>COUNTIF(Vertices[Clustering Coefficient],"&gt;= "&amp;R12)-COUNTIF(Vertices[Clustering Coefficient],"&gt;="&amp;R13)</f>
        <v>0</v>
      </c>
      <c r="T12" s="35" t="e">
        <f ca="1" t="shared" si="9"/>
        <v>#REF!</v>
      </c>
      <c r="U12" s="36" t="e">
        <f ca="1" t="shared" si="0"/>
        <v>#REF!</v>
      </c>
    </row>
    <row r="13" spans="1:21" ht="15">
      <c r="A13" s="32" t="s">
        <v>171</v>
      </c>
      <c r="B13" s="32">
        <v>0</v>
      </c>
      <c r="D13" s="30">
        <f t="shared" si="1"/>
        <v>2.9411764705882346</v>
      </c>
      <c r="E13">
        <f>COUNTIF(Vertices[Degree],"&gt;= "&amp;D13)-COUNTIF(Vertices[Degree],"&gt;="&amp;D14)</f>
        <v>11</v>
      </c>
      <c r="F13" s="37">
        <f t="shared" si="2"/>
        <v>0</v>
      </c>
      <c r="G13" s="38">
        <f>COUNTIF(Vertices[In-Degree],"&gt;= "&amp;F13)-COUNTIF(Vertices[In-Degree],"&gt;="&amp;F14)</f>
        <v>0</v>
      </c>
      <c r="H13" s="37">
        <f t="shared" si="3"/>
        <v>0</v>
      </c>
      <c r="I13" s="38">
        <f>COUNTIF(Vertices[Out-Degree],"&gt;= "&amp;H13)-COUNTIF(Vertices[Out-Degree],"&gt;="&amp;H14)</f>
        <v>0</v>
      </c>
      <c r="J13" s="37">
        <f t="shared" si="4"/>
        <v>84.86176470588238</v>
      </c>
      <c r="K13" s="38">
        <f>COUNTIF(Vertices[Betweenness Centrality],"&gt;= "&amp;J13)-COUNTIF(Vertices[Betweenness Centrality],"&gt;="&amp;J14)</f>
        <v>2</v>
      </c>
      <c r="L13" s="37">
        <f t="shared" si="5"/>
        <v>0.3103954117647057</v>
      </c>
      <c r="M13" s="38">
        <f>COUNTIF(Vertices[Closeness Centrality],"&gt;= "&amp;L13)-COUNTIF(Vertices[Closeness Centrality],"&gt;="&amp;L14)</f>
        <v>2</v>
      </c>
      <c r="N13" s="37">
        <f t="shared" si="6"/>
        <v>0.13111385294117647</v>
      </c>
      <c r="O13" s="38">
        <f>COUNTIF(Vertices[Eigenvector Centrality],"&gt;= "&amp;N13)-COUNTIF(Vertices[Eigenvector Centrality],"&gt;="&amp;N14)</f>
        <v>1</v>
      </c>
      <c r="P13" s="37">
        <f t="shared" si="7"/>
        <v>0.03463832352941178</v>
      </c>
      <c r="Q13" s="38">
        <f>COUNTIF(Vertices[PageRank],"&gt;= "&amp;P13)-COUNTIF(Vertices[PageRank],"&gt;="&amp;P14)</f>
        <v>1</v>
      </c>
      <c r="R13" s="37">
        <f t="shared" si="8"/>
        <v>0.16176470588235295</v>
      </c>
      <c r="S13" s="42">
        <f>COUNTIF(Vertices[Clustering Coefficient],"&gt;= "&amp;R13)-COUNTIF(Vertices[Clustering Coefficient],"&gt;="&amp;R14)</f>
        <v>1</v>
      </c>
      <c r="T13" s="37" t="e">
        <f ca="1" t="shared" si="9"/>
        <v>#REF!</v>
      </c>
      <c r="U13" s="38" t="e">
        <f ca="1" t="shared" si="0"/>
        <v>#REF!</v>
      </c>
    </row>
    <row r="14" spans="1:21" ht="15">
      <c r="A14" s="96"/>
      <c r="B14" s="96"/>
      <c r="D14" s="30">
        <f t="shared" si="1"/>
        <v>3.1176470588235285</v>
      </c>
      <c r="E14">
        <f>COUNTIF(Vertices[Degree],"&gt;= "&amp;D14)-COUNTIF(Vertices[Degree],"&gt;="&amp;D15)</f>
        <v>0</v>
      </c>
      <c r="F14" s="35">
        <f t="shared" si="2"/>
        <v>0</v>
      </c>
      <c r="G14" s="36">
        <f>COUNTIF(Vertices[In-Degree],"&gt;= "&amp;F14)-COUNTIF(Vertices[In-Degree],"&gt;="&amp;F15)</f>
        <v>0</v>
      </c>
      <c r="H14" s="35">
        <f t="shared" si="3"/>
        <v>0</v>
      </c>
      <c r="I14" s="36">
        <f>COUNTIF(Vertices[Out-Degree],"&gt;= "&amp;H14)-COUNTIF(Vertices[Out-Degree],"&gt;="&amp;H15)</f>
        <v>0</v>
      </c>
      <c r="J14" s="35">
        <f t="shared" si="4"/>
        <v>92.57647058823532</v>
      </c>
      <c r="K14" s="36">
        <f>COUNTIF(Vertices[Betweenness Centrality],"&gt;= "&amp;J14)-COUNTIF(Vertices[Betweenness Centrality],"&gt;="&amp;J15)</f>
        <v>1</v>
      </c>
      <c r="L14" s="35">
        <f t="shared" si="5"/>
        <v>0.31685717647058803</v>
      </c>
      <c r="M14" s="36">
        <f>COUNTIF(Vertices[Closeness Centrality],"&gt;= "&amp;L14)-COUNTIF(Vertices[Closeness Centrality],"&gt;="&amp;L15)</f>
        <v>3</v>
      </c>
      <c r="N14" s="35">
        <f t="shared" si="6"/>
        <v>0.14137829411764707</v>
      </c>
      <c r="O14" s="36">
        <f>COUNTIF(Vertices[Eigenvector Centrality],"&gt;= "&amp;N14)-COUNTIF(Vertices[Eigenvector Centrality],"&gt;="&amp;N15)</f>
        <v>2</v>
      </c>
      <c r="P14" s="35">
        <f t="shared" si="7"/>
        <v>0.035037352941176485</v>
      </c>
      <c r="Q14" s="36">
        <f>COUNTIF(Vertices[PageRank],"&gt;= "&amp;P14)-COUNTIF(Vertices[PageRank],"&gt;="&amp;P15)</f>
        <v>2</v>
      </c>
      <c r="R14" s="35">
        <f t="shared" si="8"/>
        <v>0.17647058823529413</v>
      </c>
      <c r="S14" s="41">
        <f>COUNTIF(Vertices[Clustering Coefficient],"&gt;= "&amp;R14)-COUNTIF(Vertices[Clustering Coefficient],"&gt;="&amp;R15)</f>
        <v>0</v>
      </c>
      <c r="T14" s="35" t="e">
        <f ca="1" t="shared" si="9"/>
        <v>#REF!</v>
      </c>
      <c r="U14" s="36" t="e">
        <f ca="1" t="shared" si="0"/>
        <v>#REF!</v>
      </c>
    </row>
    <row r="15" spans="1:21" ht="15">
      <c r="A15" s="32" t="s">
        <v>152</v>
      </c>
      <c r="B15" s="32">
        <v>1</v>
      </c>
      <c r="D15" s="30">
        <f t="shared" si="1"/>
        <v>3.2941176470588225</v>
      </c>
      <c r="E15">
        <f>COUNTIF(Vertices[Degree],"&gt;= "&amp;D15)-COUNTIF(Vertices[Degree],"&gt;="&amp;D16)</f>
        <v>0</v>
      </c>
      <c r="F15" s="37">
        <f t="shared" si="2"/>
        <v>0</v>
      </c>
      <c r="G15" s="38">
        <f>COUNTIF(Vertices[In-Degree],"&gt;= "&amp;F15)-COUNTIF(Vertices[In-Degree],"&gt;="&amp;F16)</f>
        <v>0</v>
      </c>
      <c r="H15" s="37">
        <f t="shared" si="3"/>
        <v>0</v>
      </c>
      <c r="I15" s="38">
        <f>COUNTIF(Vertices[Out-Degree],"&gt;= "&amp;H15)-COUNTIF(Vertices[Out-Degree],"&gt;="&amp;H16)</f>
        <v>0</v>
      </c>
      <c r="J15" s="37">
        <f t="shared" si="4"/>
        <v>100.29117647058827</v>
      </c>
      <c r="K15" s="38">
        <f>COUNTIF(Vertices[Betweenness Centrality],"&gt;= "&amp;J15)-COUNTIF(Vertices[Betweenness Centrality],"&gt;="&amp;J16)</f>
        <v>1</v>
      </c>
      <c r="L15" s="37">
        <f t="shared" si="5"/>
        <v>0.32331894117647036</v>
      </c>
      <c r="M15" s="38">
        <f>COUNTIF(Vertices[Closeness Centrality],"&gt;= "&amp;L15)-COUNTIF(Vertices[Closeness Centrality],"&gt;="&amp;L16)</f>
        <v>1</v>
      </c>
      <c r="N15" s="37">
        <f t="shared" si="6"/>
        <v>0.15164273529411768</v>
      </c>
      <c r="O15" s="38">
        <f>COUNTIF(Vertices[Eigenvector Centrality],"&gt;= "&amp;N15)-COUNTIF(Vertices[Eigenvector Centrality],"&gt;="&amp;N16)</f>
        <v>0</v>
      </c>
      <c r="P15" s="37">
        <f t="shared" si="7"/>
        <v>0.03543638235294119</v>
      </c>
      <c r="Q15" s="38">
        <f>COUNTIF(Vertices[PageRank],"&gt;= "&amp;P15)-COUNTIF(Vertices[PageRank],"&gt;="&amp;P16)</f>
        <v>3</v>
      </c>
      <c r="R15" s="37">
        <f t="shared" si="8"/>
        <v>0.1911764705882353</v>
      </c>
      <c r="S15" s="42">
        <f>COUNTIF(Vertices[Clustering Coefficient],"&gt;= "&amp;R15)-COUNTIF(Vertices[Clustering Coefficient],"&gt;="&amp;R16)</f>
        <v>0</v>
      </c>
      <c r="T15" s="37" t="e">
        <f ca="1" t="shared" si="9"/>
        <v>#REF!</v>
      </c>
      <c r="U15" s="38" t="e">
        <f ca="1" t="shared" si="0"/>
        <v>#REF!</v>
      </c>
    </row>
    <row r="16" spans="1:21" ht="15">
      <c r="A16" s="32" t="s">
        <v>153</v>
      </c>
      <c r="B16" s="32">
        <v>0</v>
      </c>
      <c r="D16" s="30">
        <f t="shared" si="1"/>
        <v>3.4705882352941164</v>
      </c>
      <c r="E16">
        <f>COUNTIF(Vertices[Degree],"&gt;= "&amp;D16)-COUNTIF(Vertices[Degree],"&gt;="&amp;D17)</f>
        <v>0</v>
      </c>
      <c r="F16" s="35">
        <f t="shared" si="2"/>
        <v>0</v>
      </c>
      <c r="G16" s="36">
        <f>COUNTIF(Vertices[In-Degree],"&gt;= "&amp;F16)-COUNTIF(Vertices[In-Degree],"&gt;="&amp;F17)</f>
        <v>0</v>
      </c>
      <c r="H16" s="35">
        <f t="shared" si="3"/>
        <v>0</v>
      </c>
      <c r="I16" s="36">
        <f>COUNTIF(Vertices[Out-Degree],"&gt;= "&amp;H16)-COUNTIF(Vertices[Out-Degree],"&gt;="&amp;H17)</f>
        <v>0</v>
      </c>
      <c r="J16" s="35">
        <f t="shared" si="4"/>
        <v>108.00588235294121</v>
      </c>
      <c r="K16" s="36">
        <f>COUNTIF(Vertices[Betweenness Centrality],"&gt;= "&amp;J16)-COUNTIF(Vertices[Betweenness Centrality],"&gt;="&amp;J17)</f>
        <v>1</v>
      </c>
      <c r="L16" s="35">
        <f t="shared" si="5"/>
        <v>0.3297807058823527</v>
      </c>
      <c r="M16" s="36">
        <f>COUNTIF(Vertices[Closeness Centrality],"&gt;= "&amp;L16)-COUNTIF(Vertices[Closeness Centrality],"&gt;="&amp;L17)</f>
        <v>1</v>
      </c>
      <c r="N16" s="35">
        <f t="shared" si="6"/>
        <v>0.16190717647058828</v>
      </c>
      <c r="O16" s="36">
        <f>COUNTIF(Vertices[Eigenvector Centrality],"&gt;= "&amp;N16)-COUNTIF(Vertices[Eigenvector Centrality],"&gt;="&amp;N17)</f>
        <v>2</v>
      </c>
      <c r="P16" s="35">
        <f t="shared" si="7"/>
        <v>0.0358354117647059</v>
      </c>
      <c r="Q16" s="36">
        <f>COUNTIF(Vertices[PageRank],"&gt;= "&amp;P16)-COUNTIF(Vertices[PageRank],"&gt;="&amp;P17)</f>
        <v>1</v>
      </c>
      <c r="R16" s="35">
        <f t="shared" si="8"/>
        <v>0.2058823529411765</v>
      </c>
      <c r="S16" s="41">
        <f>COUNTIF(Vertices[Clustering Coefficient],"&gt;= "&amp;R16)-COUNTIF(Vertices[Clustering Coefficient],"&gt;="&amp;R17)</f>
        <v>0</v>
      </c>
      <c r="T16" s="35" t="e">
        <f ca="1" t="shared" si="9"/>
        <v>#REF!</v>
      </c>
      <c r="U16" s="36" t="e">
        <f ca="1" t="shared" si="0"/>
        <v>#REF!</v>
      </c>
    </row>
    <row r="17" spans="1:21" ht="15">
      <c r="A17" s="32" t="s">
        <v>154</v>
      </c>
      <c r="B17" s="32">
        <v>29</v>
      </c>
      <c r="D17" s="30">
        <f t="shared" si="1"/>
        <v>3.6470588235294104</v>
      </c>
      <c r="E17">
        <f>COUNTIF(Vertices[Degree],"&gt;= "&amp;D17)-COUNTIF(Vertices[Degree],"&gt;="&amp;D18)</f>
        <v>0</v>
      </c>
      <c r="F17" s="37">
        <f t="shared" si="2"/>
        <v>0</v>
      </c>
      <c r="G17" s="38">
        <f>COUNTIF(Vertices[In-Degree],"&gt;= "&amp;F17)-COUNTIF(Vertices[In-Degree],"&gt;="&amp;F18)</f>
        <v>0</v>
      </c>
      <c r="H17" s="37">
        <f t="shared" si="3"/>
        <v>0</v>
      </c>
      <c r="I17" s="38">
        <f>COUNTIF(Vertices[Out-Degree],"&gt;= "&amp;H17)-COUNTIF(Vertices[Out-Degree],"&gt;="&amp;H18)</f>
        <v>0</v>
      </c>
      <c r="J17" s="37">
        <f t="shared" si="4"/>
        <v>115.72058823529416</v>
      </c>
      <c r="K17" s="38">
        <f>COUNTIF(Vertices[Betweenness Centrality],"&gt;= "&amp;J17)-COUNTIF(Vertices[Betweenness Centrality],"&gt;="&amp;J18)</f>
        <v>0</v>
      </c>
      <c r="L17" s="37">
        <f t="shared" si="5"/>
        <v>0.33624247058823503</v>
      </c>
      <c r="M17" s="38">
        <f>COUNTIF(Vertices[Closeness Centrality],"&gt;= "&amp;L17)-COUNTIF(Vertices[Closeness Centrality],"&gt;="&amp;L18)</f>
        <v>1</v>
      </c>
      <c r="N17" s="37">
        <f t="shared" si="6"/>
        <v>0.17217161764705888</v>
      </c>
      <c r="O17" s="38">
        <f>COUNTIF(Vertices[Eigenvector Centrality],"&gt;= "&amp;N17)-COUNTIF(Vertices[Eigenvector Centrality],"&gt;="&amp;N18)</f>
        <v>1</v>
      </c>
      <c r="P17" s="37">
        <f t="shared" si="7"/>
        <v>0.03623444117647061</v>
      </c>
      <c r="Q17" s="38">
        <f>COUNTIF(Vertices[PageRank],"&gt;= "&amp;P17)-COUNTIF(Vertices[PageRank],"&gt;="&amp;P18)</f>
        <v>1</v>
      </c>
      <c r="R17" s="37">
        <f t="shared" si="8"/>
        <v>0.22058823529411767</v>
      </c>
      <c r="S17" s="42">
        <f>COUNTIF(Vertices[Clustering Coefficient],"&gt;= "&amp;R17)-COUNTIF(Vertices[Clustering Coefficient],"&gt;="&amp;R18)</f>
        <v>0</v>
      </c>
      <c r="T17" s="37" t="e">
        <f ca="1" t="shared" si="9"/>
        <v>#REF!</v>
      </c>
      <c r="U17" s="38" t="e">
        <f ca="1" t="shared" si="0"/>
        <v>#REF!</v>
      </c>
    </row>
    <row r="18" spans="1:21" ht="15">
      <c r="A18" s="32" t="s">
        <v>155</v>
      </c>
      <c r="B18" s="32">
        <v>43</v>
      </c>
      <c r="D18" s="30">
        <f t="shared" si="1"/>
        <v>3.8235294117647043</v>
      </c>
      <c r="E18">
        <f>COUNTIF(Vertices[Degree],"&gt;= "&amp;D18)-COUNTIF(Vertices[Degree],"&gt;="&amp;D19)</f>
        <v>0</v>
      </c>
      <c r="F18" s="35">
        <f t="shared" si="2"/>
        <v>0</v>
      </c>
      <c r="G18" s="36">
        <f>COUNTIF(Vertices[In-Degree],"&gt;= "&amp;F18)-COUNTIF(Vertices[In-Degree],"&gt;="&amp;F19)</f>
        <v>0</v>
      </c>
      <c r="H18" s="35">
        <f t="shared" si="3"/>
        <v>0</v>
      </c>
      <c r="I18" s="36">
        <f>COUNTIF(Vertices[Out-Degree],"&gt;= "&amp;H18)-COUNTIF(Vertices[Out-Degree],"&gt;="&amp;H19)</f>
        <v>0</v>
      </c>
      <c r="J18" s="35">
        <f t="shared" si="4"/>
        <v>123.4352941176471</v>
      </c>
      <c r="K18" s="36">
        <f>COUNTIF(Vertices[Betweenness Centrality],"&gt;= "&amp;J18)-COUNTIF(Vertices[Betweenness Centrality],"&gt;="&amp;J19)</f>
        <v>0</v>
      </c>
      <c r="L18" s="35">
        <f t="shared" si="5"/>
        <v>0.34270423529411737</v>
      </c>
      <c r="M18" s="36">
        <f>COUNTIF(Vertices[Closeness Centrality],"&gt;= "&amp;L18)-COUNTIF(Vertices[Closeness Centrality],"&gt;="&amp;L19)</f>
        <v>1</v>
      </c>
      <c r="N18" s="35">
        <f t="shared" si="6"/>
        <v>0.18243605882352948</v>
      </c>
      <c r="O18" s="36">
        <f>COUNTIF(Vertices[Eigenvector Centrality],"&gt;= "&amp;N18)-COUNTIF(Vertices[Eigenvector Centrality],"&gt;="&amp;N19)</f>
        <v>3</v>
      </c>
      <c r="P18" s="35">
        <f t="shared" si="7"/>
        <v>0.036633470588235316</v>
      </c>
      <c r="Q18" s="36">
        <f>COUNTIF(Vertices[PageRank],"&gt;= "&amp;P18)-COUNTIF(Vertices[PageRank],"&gt;="&amp;P19)</f>
        <v>0</v>
      </c>
      <c r="R18" s="35">
        <f t="shared" si="8"/>
        <v>0.23529411764705885</v>
      </c>
      <c r="S18" s="41">
        <f>COUNTIF(Vertices[Clustering Coefficient],"&gt;= "&amp;R18)-COUNTIF(Vertices[Clustering Coefficient],"&gt;="&amp;R19)</f>
        <v>0</v>
      </c>
      <c r="T18" s="35" t="e">
        <f ca="1" t="shared" si="9"/>
        <v>#REF!</v>
      </c>
      <c r="U18" s="36" t="e">
        <f ca="1" t="shared" si="0"/>
        <v>#REF!</v>
      </c>
    </row>
    <row r="19" spans="1:21" ht="15">
      <c r="A19" s="96"/>
      <c r="B19" s="96"/>
      <c r="D19" s="30">
        <f t="shared" si="1"/>
        <v>3.9999999999999982</v>
      </c>
      <c r="E19">
        <f>COUNTIF(Vertices[Degree],"&gt;= "&amp;D19)-COUNTIF(Vertices[Degree],"&gt;="&amp;D20)</f>
        <v>4</v>
      </c>
      <c r="F19" s="37">
        <f t="shared" si="2"/>
        <v>0</v>
      </c>
      <c r="G19" s="38">
        <f>COUNTIF(Vertices[In-Degree],"&gt;= "&amp;F19)-COUNTIF(Vertices[In-Degree],"&gt;="&amp;F20)</f>
        <v>0</v>
      </c>
      <c r="H19" s="37">
        <f t="shared" si="3"/>
        <v>0</v>
      </c>
      <c r="I19" s="38">
        <f>COUNTIF(Vertices[Out-Degree],"&gt;= "&amp;H19)-COUNTIF(Vertices[Out-Degree],"&gt;="&amp;H20)</f>
        <v>0</v>
      </c>
      <c r="J19" s="37">
        <f t="shared" si="4"/>
        <v>131.15000000000003</v>
      </c>
      <c r="K19" s="38">
        <f>COUNTIF(Vertices[Betweenness Centrality],"&gt;= "&amp;J19)-COUNTIF(Vertices[Betweenness Centrality],"&gt;="&amp;J20)</f>
        <v>0</v>
      </c>
      <c r="L19" s="37">
        <f t="shared" si="5"/>
        <v>0.3491659999999997</v>
      </c>
      <c r="M19" s="38">
        <f>COUNTIF(Vertices[Closeness Centrality],"&gt;= "&amp;L19)-COUNTIF(Vertices[Closeness Centrality],"&gt;="&amp;L20)</f>
        <v>1</v>
      </c>
      <c r="N19" s="37">
        <f t="shared" si="6"/>
        <v>0.19270050000000008</v>
      </c>
      <c r="O19" s="38">
        <f>COUNTIF(Vertices[Eigenvector Centrality],"&gt;= "&amp;N19)-COUNTIF(Vertices[Eigenvector Centrality],"&gt;="&amp;N20)</f>
        <v>0</v>
      </c>
      <c r="P19" s="37">
        <f t="shared" si="7"/>
        <v>0.037032500000000024</v>
      </c>
      <c r="Q19" s="38">
        <f>COUNTIF(Vertices[PageRank],"&gt;= "&amp;P19)-COUNTIF(Vertices[PageRank],"&gt;="&amp;P20)</f>
        <v>2</v>
      </c>
      <c r="R19" s="37">
        <f t="shared" si="8"/>
        <v>0.25</v>
      </c>
      <c r="S19" s="42">
        <f>COUNTIF(Vertices[Clustering Coefficient],"&gt;= "&amp;R19)-COUNTIF(Vertices[Clustering Coefficient],"&gt;="&amp;R20)</f>
        <v>0</v>
      </c>
      <c r="T19" s="37" t="e">
        <f ca="1" t="shared" si="9"/>
        <v>#REF!</v>
      </c>
      <c r="U19" s="38" t="e">
        <f ca="1" t="shared" si="0"/>
        <v>#REF!</v>
      </c>
    </row>
    <row r="20" spans="1:21" ht="15">
      <c r="A20" s="32" t="s">
        <v>156</v>
      </c>
      <c r="B20" s="32">
        <v>6</v>
      </c>
      <c r="D20" s="30">
        <f t="shared" si="1"/>
        <v>4.176470588235293</v>
      </c>
      <c r="E20">
        <f>COUNTIF(Vertices[Degree],"&gt;= "&amp;D20)-COUNTIF(Vertices[Degree],"&gt;="&amp;D21)</f>
        <v>0</v>
      </c>
      <c r="F20" s="35">
        <f t="shared" si="2"/>
        <v>0</v>
      </c>
      <c r="G20" s="36">
        <f>COUNTIF(Vertices[In-Degree],"&gt;= "&amp;F20)-COUNTIF(Vertices[In-Degree],"&gt;="&amp;F21)</f>
        <v>0</v>
      </c>
      <c r="H20" s="35">
        <f t="shared" si="3"/>
        <v>0</v>
      </c>
      <c r="I20" s="36">
        <f>COUNTIF(Vertices[Out-Degree],"&gt;= "&amp;H20)-COUNTIF(Vertices[Out-Degree],"&gt;="&amp;H21)</f>
        <v>0</v>
      </c>
      <c r="J20" s="35">
        <f t="shared" si="4"/>
        <v>138.86470588235298</v>
      </c>
      <c r="K20" s="36">
        <f>COUNTIF(Vertices[Betweenness Centrality],"&gt;= "&amp;J20)-COUNTIF(Vertices[Betweenness Centrality],"&gt;="&amp;J21)</f>
        <v>0</v>
      </c>
      <c r="L20" s="35">
        <f t="shared" si="5"/>
        <v>0.35562776470588203</v>
      </c>
      <c r="M20" s="36">
        <f>COUNTIF(Vertices[Closeness Centrality],"&gt;= "&amp;L20)-COUNTIF(Vertices[Closeness Centrality],"&gt;="&amp;L21)</f>
        <v>2</v>
      </c>
      <c r="N20" s="35">
        <f t="shared" si="6"/>
        <v>0.20296494117647068</v>
      </c>
      <c r="O20" s="36">
        <f>COUNTIF(Vertices[Eigenvector Centrality],"&gt;= "&amp;N20)-COUNTIF(Vertices[Eigenvector Centrality],"&gt;="&amp;N21)</f>
        <v>1</v>
      </c>
      <c r="P20" s="35">
        <f t="shared" si="7"/>
        <v>0.03743152941176473</v>
      </c>
      <c r="Q20" s="36">
        <f>COUNTIF(Vertices[PageRank],"&gt;= "&amp;P20)-COUNTIF(Vertices[PageRank],"&gt;="&amp;P21)</f>
        <v>0</v>
      </c>
      <c r="R20" s="35">
        <f t="shared" si="8"/>
        <v>0.2647058823529412</v>
      </c>
      <c r="S20" s="41">
        <f>COUNTIF(Vertices[Clustering Coefficient],"&gt;= "&amp;R20)-COUNTIF(Vertices[Clustering Coefficient],"&gt;="&amp;R21)</f>
        <v>0</v>
      </c>
      <c r="T20" s="35" t="e">
        <f ca="1" t="shared" si="9"/>
        <v>#REF!</v>
      </c>
      <c r="U20" s="36" t="e">
        <f ca="1" t="shared" si="0"/>
        <v>#REF!</v>
      </c>
    </row>
    <row r="21" spans="1:21" ht="15">
      <c r="A21" s="32" t="s">
        <v>157</v>
      </c>
      <c r="B21" s="32">
        <v>2.97503</v>
      </c>
      <c r="D21" s="30">
        <f t="shared" si="1"/>
        <v>4.352941176470587</v>
      </c>
      <c r="E21">
        <f>COUNTIF(Vertices[Degree],"&gt;= "&amp;D21)-COUNTIF(Vertices[Degree],"&gt;="&amp;D22)</f>
        <v>0</v>
      </c>
      <c r="F21" s="37">
        <f t="shared" si="2"/>
        <v>0</v>
      </c>
      <c r="G21" s="38">
        <f>COUNTIF(Vertices[In-Degree],"&gt;= "&amp;F21)-COUNTIF(Vertices[In-Degree],"&gt;="&amp;F22)</f>
        <v>0</v>
      </c>
      <c r="H21" s="37">
        <f t="shared" si="3"/>
        <v>0</v>
      </c>
      <c r="I21" s="38">
        <f>COUNTIF(Vertices[Out-Degree],"&gt;= "&amp;H21)-COUNTIF(Vertices[Out-Degree],"&gt;="&amp;H22)</f>
        <v>0</v>
      </c>
      <c r="J21" s="37">
        <f t="shared" si="4"/>
        <v>146.57941176470592</v>
      </c>
      <c r="K21" s="38">
        <f>COUNTIF(Vertices[Betweenness Centrality],"&gt;= "&amp;J21)-COUNTIF(Vertices[Betweenness Centrality],"&gt;="&amp;J22)</f>
        <v>0</v>
      </c>
      <c r="L21" s="37">
        <f t="shared" si="5"/>
        <v>0.36208952941176437</v>
      </c>
      <c r="M21" s="38">
        <f>COUNTIF(Vertices[Closeness Centrality],"&gt;= "&amp;L21)-COUNTIF(Vertices[Closeness Centrality],"&gt;="&amp;L22)</f>
        <v>0</v>
      </c>
      <c r="N21" s="37">
        <f t="shared" si="6"/>
        <v>0.21322938235294128</v>
      </c>
      <c r="O21" s="38">
        <f>COUNTIF(Vertices[Eigenvector Centrality],"&gt;= "&amp;N21)-COUNTIF(Vertices[Eigenvector Centrality],"&gt;="&amp;N22)</f>
        <v>0</v>
      </c>
      <c r="P21" s="37">
        <f t="shared" si="7"/>
        <v>0.03783055882352944</v>
      </c>
      <c r="Q21" s="38">
        <f>COUNTIF(Vertices[PageRank],"&gt;= "&amp;P21)-COUNTIF(Vertices[PageRank],"&gt;="&amp;P22)</f>
        <v>1</v>
      </c>
      <c r="R21" s="37">
        <f t="shared" si="8"/>
        <v>0.27941176470588236</v>
      </c>
      <c r="S21" s="42">
        <f>COUNTIF(Vertices[Clustering Coefficient],"&gt;= "&amp;R21)-COUNTIF(Vertices[Clustering Coefficient],"&gt;="&amp;R22)</f>
        <v>0</v>
      </c>
      <c r="T21" s="37" t="e">
        <f ca="1" t="shared" si="9"/>
        <v>#REF!</v>
      </c>
      <c r="U21" s="38" t="e">
        <f ca="1" t="shared" si="0"/>
        <v>#REF!</v>
      </c>
    </row>
    <row r="22" spans="1:21" ht="15">
      <c r="A22" s="96"/>
      <c r="B22" s="96"/>
      <c r="D22" s="30">
        <f t="shared" si="1"/>
        <v>4.529411764705881</v>
      </c>
      <c r="E22">
        <f>COUNTIF(Vertices[Degree],"&gt;= "&amp;D22)-COUNTIF(Vertices[Degree],"&gt;="&amp;D23)</f>
        <v>0</v>
      </c>
      <c r="F22" s="35">
        <f t="shared" si="2"/>
        <v>0</v>
      </c>
      <c r="G22" s="36">
        <f>COUNTIF(Vertices[In-Degree],"&gt;= "&amp;F22)-COUNTIF(Vertices[In-Degree],"&gt;="&amp;F23)</f>
        <v>0</v>
      </c>
      <c r="H22" s="35">
        <f t="shared" si="3"/>
        <v>0</v>
      </c>
      <c r="I22" s="36">
        <f>COUNTIF(Vertices[Out-Degree],"&gt;= "&amp;H22)-COUNTIF(Vertices[Out-Degree],"&gt;="&amp;H23)</f>
        <v>0</v>
      </c>
      <c r="J22" s="35">
        <f t="shared" si="4"/>
        <v>154.29411764705887</v>
      </c>
      <c r="K22" s="36">
        <f>COUNTIF(Vertices[Betweenness Centrality],"&gt;= "&amp;J22)-COUNTIF(Vertices[Betweenness Centrality],"&gt;="&amp;J23)</f>
        <v>0</v>
      </c>
      <c r="L22" s="35">
        <f t="shared" si="5"/>
        <v>0.3685512941176467</v>
      </c>
      <c r="M22" s="36">
        <f>COUNTIF(Vertices[Closeness Centrality],"&gt;= "&amp;L22)-COUNTIF(Vertices[Closeness Centrality],"&gt;="&amp;L23)</f>
        <v>1</v>
      </c>
      <c r="N22" s="35">
        <f t="shared" si="6"/>
        <v>0.22349382352941188</v>
      </c>
      <c r="O22" s="36">
        <f>COUNTIF(Vertices[Eigenvector Centrality],"&gt;= "&amp;N22)-COUNTIF(Vertices[Eigenvector Centrality],"&gt;="&amp;N23)</f>
        <v>0</v>
      </c>
      <c r="P22" s="35">
        <f t="shared" si="7"/>
        <v>0.03822958823529415</v>
      </c>
      <c r="Q22" s="36">
        <f>COUNTIF(Vertices[PageRank],"&gt;= "&amp;P22)-COUNTIF(Vertices[PageRank],"&gt;="&amp;P23)</f>
        <v>0</v>
      </c>
      <c r="R22" s="35">
        <f t="shared" si="8"/>
        <v>0.29411764705882354</v>
      </c>
      <c r="S22" s="41">
        <f>COUNTIF(Vertices[Clustering Coefficient],"&gt;= "&amp;R22)-COUNTIF(Vertices[Clustering Coefficient],"&gt;="&amp;R23)</f>
        <v>0</v>
      </c>
      <c r="T22" s="35" t="e">
        <f ca="1" t="shared" si="9"/>
        <v>#REF!</v>
      </c>
      <c r="U22" s="36" t="e">
        <f ca="1" t="shared" si="0"/>
        <v>#REF!</v>
      </c>
    </row>
    <row r="23" spans="1:21" ht="15">
      <c r="A23" s="32" t="s">
        <v>158</v>
      </c>
      <c r="B23" s="32">
        <v>0.05295566502463054</v>
      </c>
      <c r="D23" s="30">
        <f t="shared" si="1"/>
        <v>4.705882352941176</v>
      </c>
      <c r="E23">
        <f>COUNTIF(Vertices[Degree],"&gt;= "&amp;D23)-COUNTIF(Vertices[Degree],"&gt;="&amp;D24)</f>
        <v>0</v>
      </c>
      <c r="F23" s="37">
        <f t="shared" si="2"/>
        <v>0</v>
      </c>
      <c r="G23" s="38">
        <f>COUNTIF(Vertices[In-Degree],"&gt;= "&amp;F23)-COUNTIF(Vertices[In-Degree],"&gt;="&amp;F24)</f>
        <v>0</v>
      </c>
      <c r="H23" s="37">
        <f t="shared" si="3"/>
        <v>0</v>
      </c>
      <c r="I23" s="38">
        <f>COUNTIF(Vertices[Out-Degree],"&gt;= "&amp;H23)-COUNTIF(Vertices[Out-Degree],"&gt;="&amp;H24)</f>
        <v>0</v>
      </c>
      <c r="J23" s="37">
        <f t="shared" si="4"/>
        <v>162.0088235294118</v>
      </c>
      <c r="K23" s="38">
        <f>COUNTIF(Vertices[Betweenness Centrality],"&gt;= "&amp;J23)-COUNTIF(Vertices[Betweenness Centrality],"&gt;="&amp;J24)</f>
        <v>0</v>
      </c>
      <c r="L23" s="37">
        <f t="shared" si="5"/>
        <v>0.37501305882352903</v>
      </c>
      <c r="M23" s="38">
        <f>COUNTIF(Vertices[Closeness Centrality],"&gt;= "&amp;L23)-COUNTIF(Vertices[Closeness Centrality],"&gt;="&amp;L24)</f>
        <v>1</v>
      </c>
      <c r="N23" s="37">
        <f t="shared" si="6"/>
        <v>0.23375826470588248</v>
      </c>
      <c r="O23" s="38">
        <f>COUNTIF(Vertices[Eigenvector Centrality],"&gt;= "&amp;N23)-COUNTIF(Vertices[Eigenvector Centrality],"&gt;="&amp;N24)</f>
        <v>1</v>
      </c>
      <c r="P23" s="37">
        <f t="shared" si="7"/>
        <v>0.038628617647058855</v>
      </c>
      <c r="Q23" s="38">
        <f>COUNTIF(Vertices[PageRank],"&gt;= "&amp;P23)-COUNTIF(Vertices[PageRank],"&gt;="&amp;P24)</f>
        <v>0</v>
      </c>
      <c r="R23" s="37">
        <f t="shared" si="8"/>
        <v>0.3088235294117647</v>
      </c>
      <c r="S23" s="42">
        <f>COUNTIF(Vertices[Clustering Coefficient],"&gt;= "&amp;R23)-COUNTIF(Vertices[Clustering Coefficient],"&gt;="&amp;R24)</f>
        <v>0</v>
      </c>
      <c r="T23" s="37" t="e">
        <f ca="1" t="shared" si="9"/>
        <v>#REF!</v>
      </c>
      <c r="U23" s="38" t="e">
        <f ca="1" t="shared" si="0"/>
        <v>#REF!</v>
      </c>
    </row>
    <row r="24" spans="1:21" ht="15">
      <c r="A24" s="32" t="s">
        <v>373</v>
      </c>
      <c r="B24" s="32">
        <v>0.458626</v>
      </c>
      <c r="D24" s="30">
        <f t="shared" si="1"/>
        <v>4.88235294117647</v>
      </c>
      <c r="E24">
        <f>COUNTIF(Vertices[Degree],"&gt;= "&amp;D24)-COUNTIF(Vertices[Degree],"&gt;="&amp;D25)</f>
        <v>2</v>
      </c>
      <c r="F24" s="35">
        <f t="shared" si="2"/>
        <v>0</v>
      </c>
      <c r="G24" s="36">
        <f>COUNTIF(Vertices[In-Degree],"&gt;= "&amp;F24)-COUNTIF(Vertices[In-Degree],"&gt;="&amp;F25)</f>
        <v>0</v>
      </c>
      <c r="H24" s="35">
        <f t="shared" si="3"/>
        <v>0</v>
      </c>
      <c r="I24" s="36">
        <f>COUNTIF(Vertices[Out-Degree],"&gt;= "&amp;H24)-COUNTIF(Vertices[Out-Degree],"&gt;="&amp;H25)</f>
        <v>0</v>
      </c>
      <c r="J24" s="35">
        <f t="shared" si="4"/>
        <v>169.72352941176476</v>
      </c>
      <c r="K24" s="36">
        <f>COUNTIF(Vertices[Betweenness Centrality],"&gt;= "&amp;J24)-COUNTIF(Vertices[Betweenness Centrality],"&gt;="&amp;J25)</f>
        <v>0</v>
      </c>
      <c r="L24" s="35">
        <f t="shared" si="5"/>
        <v>0.38147482352941137</v>
      </c>
      <c r="M24" s="36">
        <f>COUNTIF(Vertices[Closeness Centrality],"&gt;= "&amp;L24)-COUNTIF(Vertices[Closeness Centrality],"&gt;="&amp;L25)</f>
        <v>0</v>
      </c>
      <c r="N24" s="35">
        <f t="shared" si="6"/>
        <v>0.24402270588235309</v>
      </c>
      <c r="O24" s="36">
        <f>COUNTIF(Vertices[Eigenvector Centrality],"&gt;= "&amp;N24)-COUNTIF(Vertices[Eigenvector Centrality],"&gt;="&amp;N25)</f>
        <v>0</v>
      </c>
      <c r="P24" s="35">
        <f t="shared" si="7"/>
        <v>0.03902764705882356</v>
      </c>
      <c r="Q24" s="36">
        <f>COUNTIF(Vertices[PageRank],"&gt;= "&amp;P24)-COUNTIF(Vertices[PageRank],"&gt;="&amp;P25)</f>
        <v>0</v>
      </c>
      <c r="R24" s="35">
        <f t="shared" si="8"/>
        <v>0.3235294117647059</v>
      </c>
      <c r="S24" s="41">
        <f>COUNTIF(Vertices[Clustering Coefficient],"&gt;= "&amp;R24)-COUNTIF(Vertices[Clustering Coefficient],"&gt;="&amp;R25)</f>
        <v>1</v>
      </c>
      <c r="T24" s="35" t="e">
        <f ca="1" t="shared" si="9"/>
        <v>#REF!</v>
      </c>
      <c r="U24" s="36" t="e">
        <f ca="1" t="shared" si="0"/>
        <v>#REF!</v>
      </c>
    </row>
    <row r="25" spans="1:21" ht="15">
      <c r="A25" s="96"/>
      <c r="B25" s="96"/>
      <c r="D25" s="30">
        <f t="shared" si="1"/>
        <v>5.0588235294117645</v>
      </c>
      <c r="E25">
        <f>COUNTIF(Vertices[Degree],"&gt;= "&amp;D25)-COUNTIF(Vertices[Degree],"&gt;="&amp;D26)</f>
        <v>0</v>
      </c>
      <c r="F25" s="37">
        <f t="shared" si="2"/>
        <v>0</v>
      </c>
      <c r="G25" s="38">
        <f>COUNTIF(Vertices[In-Degree],"&gt;= "&amp;F25)-COUNTIF(Vertices[In-Degree],"&gt;="&amp;F26)</f>
        <v>0</v>
      </c>
      <c r="H25" s="37">
        <f t="shared" si="3"/>
        <v>0</v>
      </c>
      <c r="I25" s="38">
        <f>COUNTIF(Vertices[Out-Degree],"&gt;= "&amp;H25)-COUNTIF(Vertices[Out-Degree],"&gt;="&amp;H26)</f>
        <v>0</v>
      </c>
      <c r="J25" s="37">
        <f t="shared" si="4"/>
        <v>177.4382352941177</v>
      </c>
      <c r="K25" s="38">
        <f>COUNTIF(Vertices[Betweenness Centrality],"&gt;= "&amp;J25)-COUNTIF(Vertices[Betweenness Centrality],"&gt;="&amp;J26)</f>
        <v>0</v>
      </c>
      <c r="L25" s="37">
        <f t="shared" si="5"/>
        <v>0.3879365882352937</v>
      </c>
      <c r="M25" s="38">
        <f>COUNTIF(Vertices[Closeness Centrality],"&gt;= "&amp;L25)-COUNTIF(Vertices[Closeness Centrality],"&gt;="&amp;L26)</f>
        <v>2</v>
      </c>
      <c r="N25" s="37">
        <f t="shared" si="6"/>
        <v>0.25428714705882366</v>
      </c>
      <c r="O25" s="38">
        <f>COUNTIF(Vertices[Eigenvector Centrality],"&gt;= "&amp;N25)-COUNTIF(Vertices[Eigenvector Centrality],"&gt;="&amp;N26)</f>
        <v>1</v>
      </c>
      <c r="P25" s="37">
        <f t="shared" si="7"/>
        <v>0.03942667647058827</v>
      </c>
      <c r="Q25" s="38">
        <f>COUNTIF(Vertices[PageRank],"&gt;= "&amp;P25)-COUNTIF(Vertices[PageRank],"&gt;="&amp;P26)</f>
        <v>0</v>
      </c>
      <c r="R25" s="37">
        <f t="shared" si="8"/>
        <v>0.3382352941176471</v>
      </c>
      <c r="S25" s="42">
        <f>COUNTIF(Vertices[Clustering Coefficient],"&gt;= "&amp;R25)-COUNTIF(Vertices[Clustering Coefficient],"&gt;="&amp;R26)</f>
        <v>0</v>
      </c>
      <c r="T25" s="37" t="e">
        <f ca="1" t="shared" si="9"/>
        <v>#REF!</v>
      </c>
      <c r="U25" s="38" t="e">
        <f ca="1" t="shared" si="0"/>
        <v>#REF!</v>
      </c>
    </row>
    <row r="26" spans="1:21" ht="15">
      <c r="A26" s="32" t="s">
        <v>374</v>
      </c>
      <c r="B26" s="32" t="s">
        <v>389</v>
      </c>
      <c r="D26" s="30">
        <f t="shared" si="1"/>
        <v>5.235294117647059</v>
      </c>
      <c r="E26">
        <f>COUNTIF(Vertices[Degree],"&gt;= "&amp;D26)-COUNTIF(Vertices[Degree],"&gt;="&amp;D27)</f>
        <v>0</v>
      </c>
      <c r="F26" s="35">
        <f t="shared" si="2"/>
        <v>0</v>
      </c>
      <c r="G26" s="36">
        <f>COUNTIF(Vertices[In-Degree],"&gt;= "&amp;F26)-COUNTIF(Vertices[In-Degree],"&gt;="&amp;F27)</f>
        <v>0</v>
      </c>
      <c r="H26" s="35">
        <f t="shared" si="3"/>
        <v>0</v>
      </c>
      <c r="I26" s="36">
        <f>COUNTIF(Vertices[Out-Degree],"&gt;= "&amp;H26)-COUNTIF(Vertices[Out-Degree],"&gt;="&amp;H27)</f>
        <v>0</v>
      </c>
      <c r="J26" s="35">
        <f t="shared" si="4"/>
        <v>185.15294117647065</v>
      </c>
      <c r="K26" s="36">
        <f>COUNTIF(Vertices[Betweenness Centrality],"&gt;= "&amp;J26)-COUNTIF(Vertices[Betweenness Centrality],"&gt;="&amp;J27)</f>
        <v>0</v>
      </c>
      <c r="L26" s="35">
        <f t="shared" si="5"/>
        <v>0.39439835294117603</v>
      </c>
      <c r="M26" s="36">
        <f>COUNTIF(Vertices[Closeness Centrality],"&gt;= "&amp;L26)-COUNTIF(Vertices[Closeness Centrality],"&gt;="&amp;L27)</f>
        <v>0</v>
      </c>
      <c r="N26" s="35">
        <f t="shared" si="6"/>
        <v>0.26455158823529423</v>
      </c>
      <c r="O26" s="36">
        <f>COUNTIF(Vertices[Eigenvector Centrality],"&gt;= "&amp;N26)-COUNTIF(Vertices[Eigenvector Centrality],"&gt;="&amp;N27)</f>
        <v>0</v>
      </c>
      <c r="P26" s="35">
        <f t="shared" si="7"/>
        <v>0.03982570588235298</v>
      </c>
      <c r="Q26" s="36">
        <f>COUNTIF(Vertices[PageRank],"&gt;= "&amp;P26)-COUNTIF(Vertices[PageRank],"&gt;="&amp;P27)</f>
        <v>0</v>
      </c>
      <c r="R26" s="35">
        <f t="shared" si="8"/>
        <v>0.35294117647058826</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96"/>
      <c r="B27" s="96"/>
      <c r="D27" s="30">
        <f t="shared" si="1"/>
        <v>5.411764705882353</v>
      </c>
      <c r="E27">
        <f>COUNTIF(Vertices[Degree],"&gt;= "&amp;D27)-COUNTIF(Vertices[Degree],"&gt;="&amp;D28)</f>
        <v>0</v>
      </c>
      <c r="F27" s="37">
        <f t="shared" si="2"/>
        <v>0</v>
      </c>
      <c r="G27" s="38">
        <f>COUNTIF(Vertices[In-Degree],"&gt;= "&amp;F27)-COUNTIF(Vertices[In-Degree],"&gt;="&amp;F28)</f>
        <v>0</v>
      </c>
      <c r="H27" s="37">
        <f t="shared" si="3"/>
        <v>0</v>
      </c>
      <c r="I27" s="38">
        <f>COUNTIF(Vertices[Out-Degree],"&gt;= "&amp;H27)-COUNTIF(Vertices[Out-Degree],"&gt;="&amp;H28)</f>
        <v>0</v>
      </c>
      <c r="J27" s="37">
        <f t="shared" si="4"/>
        <v>192.8676470588236</v>
      </c>
      <c r="K27" s="38">
        <f>COUNTIF(Vertices[Betweenness Centrality],"&gt;= "&amp;J27)-COUNTIF(Vertices[Betweenness Centrality],"&gt;="&amp;J28)</f>
        <v>2</v>
      </c>
      <c r="L27" s="37">
        <f t="shared" si="5"/>
        <v>0.40086011764705837</v>
      </c>
      <c r="M27" s="38">
        <f>COUNTIF(Vertices[Closeness Centrality],"&gt;= "&amp;L27)-COUNTIF(Vertices[Closeness Centrality],"&gt;="&amp;L28)</f>
        <v>1</v>
      </c>
      <c r="N27" s="37">
        <f t="shared" si="6"/>
        <v>0.2748160294117648</v>
      </c>
      <c r="O27" s="38">
        <f>COUNTIF(Vertices[Eigenvector Centrality],"&gt;= "&amp;N27)-COUNTIF(Vertices[Eigenvector Centrality],"&gt;="&amp;N28)</f>
        <v>0</v>
      </c>
      <c r="P27" s="37">
        <f t="shared" si="7"/>
        <v>0.040224735294117686</v>
      </c>
      <c r="Q27" s="38">
        <f>COUNTIF(Vertices[PageRank],"&gt;= "&amp;P27)-COUNTIF(Vertices[PageRank],"&gt;="&amp;P28)</f>
        <v>0</v>
      </c>
      <c r="R27" s="37">
        <f t="shared" si="8"/>
        <v>0.36764705882352944</v>
      </c>
      <c r="S27" s="42">
        <f>COUNTIF(Vertices[Clustering Coefficient],"&gt;= "&amp;R27)-COUNTIF(Vertices[Clustering Coefficient],"&gt;="&amp;R28)</f>
        <v>0</v>
      </c>
      <c r="T27" s="37" t="e">
        <f ca="1" t="shared" si="9"/>
        <v>#REF!</v>
      </c>
      <c r="U27" s="38" t="e">
        <f ca="1" t="shared" si="10"/>
        <v>#REF!</v>
      </c>
    </row>
    <row r="28" spans="1:21" ht="15">
      <c r="A28" s="32" t="s">
        <v>375</v>
      </c>
      <c r="B28" s="32" t="s">
        <v>410</v>
      </c>
      <c r="D28" s="30">
        <f t="shared" si="1"/>
        <v>5.588235294117648</v>
      </c>
      <c r="E28">
        <f>COUNTIF(Vertices[Degree],"&gt;= "&amp;D28)-COUNTIF(Vertices[Degree],"&gt;="&amp;D29)</f>
        <v>0</v>
      </c>
      <c r="F28" s="35">
        <f t="shared" si="2"/>
        <v>0</v>
      </c>
      <c r="G28" s="36">
        <f>COUNTIF(Vertices[In-Degree],"&gt;= "&amp;F28)-COUNTIF(Vertices[In-Degree],"&gt;="&amp;F29)</f>
        <v>0</v>
      </c>
      <c r="H28" s="35">
        <f t="shared" si="3"/>
        <v>0</v>
      </c>
      <c r="I28" s="36">
        <f>COUNTIF(Vertices[Out-Degree],"&gt;= "&amp;H28)-COUNTIF(Vertices[Out-Degree],"&gt;="&amp;H29)</f>
        <v>0</v>
      </c>
      <c r="J28" s="35">
        <f t="shared" si="4"/>
        <v>200.58235294117654</v>
      </c>
      <c r="K28" s="36">
        <f>COUNTIF(Vertices[Betweenness Centrality],"&gt;= "&amp;J28)-COUNTIF(Vertices[Betweenness Centrality],"&gt;="&amp;J29)</f>
        <v>0</v>
      </c>
      <c r="L28" s="35">
        <f t="shared" si="5"/>
        <v>0.4073218823529407</v>
      </c>
      <c r="M28" s="36">
        <f>COUNTIF(Vertices[Closeness Centrality],"&gt;= "&amp;L28)-COUNTIF(Vertices[Closeness Centrality],"&gt;="&amp;L29)</f>
        <v>0</v>
      </c>
      <c r="N28" s="35">
        <f t="shared" si="6"/>
        <v>0.2850804705882354</v>
      </c>
      <c r="O28" s="36">
        <f>COUNTIF(Vertices[Eigenvector Centrality],"&gt;= "&amp;N28)-COUNTIF(Vertices[Eigenvector Centrality],"&gt;="&amp;N29)</f>
        <v>0</v>
      </c>
      <c r="P28" s="35">
        <f t="shared" si="7"/>
        <v>0.040623764705882394</v>
      </c>
      <c r="Q28" s="36">
        <f>COUNTIF(Vertices[PageRank],"&gt;= "&amp;P28)-COUNTIF(Vertices[PageRank],"&gt;="&amp;P29)</f>
        <v>0</v>
      </c>
      <c r="R28" s="35">
        <f t="shared" si="8"/>
        <v>0.3823529411764706</v>
      </c>
      <c r="S28" s="41">
        <f>COUNTIF(Vertices[Clustering Coefficient],"&gt;= "&amp;R28)-COUNTIF(Vertices[Clustering Coefficient],"&gt;="&amp;R29)</f>
        <v>0</v>
      </c>
      <c r="T28" s="35" t="e">
        <f ca="1" t="shared" si="9"/>
        <v>#REF!</v>
      </c>
      <c r="U28" s="36" t="e">
        <f ca="1" t="shared" si="10"/>
        <v>#REF!</v>
      </c>
    </row>
    <row r="29" spans="1:21" ht="15">
      <c r="A29" s="32" t="s">
        <v>376</v>
      </c>
      <c r="B29" s="32" t="s">
        <v>411</v>
      </c>
      <c r="D29" s="30">
        <f t="shared" si="1"/>
        <v>5.764705882352942</v>
      </c>
      <c r="E29">
        <f>COUNTIF(Vertices[Degree],"&gt;= "&amp;D29)-COUNTIF(Vertices[Degree],"&gt;="&amp;D30)</f>
        <v>0</v>
      </c>
      <c r="F29" s="37">
        <f t="shared" si="2"/>
        <v>0</v>
      </c>
      <c r="G29" s="38">
        <f>COUNTIF(Vertices[In-Degree],"&gt;= "&amp;F29)-COUNTIF(Vertices[In-Degree],"&gt;="&amp;F30)</f>
        <v>0</v>
      </c>
      <c r="H29" s="37">
        <f t="shared" si="3"/>
        <v>0</v>
      </c>
      <c r="I29" s="38">
        <f>COUNTIF(Vertices[Out-Degree],"&gt;= "&amp;H29)-COUNTIF(Vertices[Out-Degree],"&gt;="&amp;H30)</f>
        <v>0</v>
      </c>
      <c r="J29" s="37">
        <f t="shared" si="4"/>
        <v>208.29705882352948</v>
      </c>
      <c r="K29" s="38">
        <f>COUNTIF(Vertices[Betweenness Centrality],"&gt;= "&amp;J29)-COUNTIF(Vertices[Betweenness Centrality],"&gt;="&amp;J30)</f>
        <v>0</v>
      </c>
      <c r="L29" s="37">
        <f t="shared" si="5"/>
        <v>0.41378364705882303</v>
      </c>
      <c r="M29" s="38">
        <f>COUNTIF(Vertices[Closeness Centrality],"&gt;= "&amp;L29)-COUNTIF(Vertices[Closeness Centrality],"&gt;="&amp;L30)</f>
        <v>0</v>
      </c>
      <c r="N29" s="37">
        <f t="shared" si="6"/>
        <v>0.29534491176470595</v>
      </c>
      <c r="O29" s="38">
        <f>COUNTIF(Vertices[Eigenvector Centrality],"&gt;= "&amp;N29)-COUNTIF(Vertices[Eigenvector Centrality],"&gt;="&amp;N30)</f>
        <v>0</v>
      </c>
      <c r="P29" s="37">
        <f t="shared" si="7"/>
        <v>0.0410227941176471</v>
      </c>
      <c r="Q29" s="38">
        <f>COUNTIF(Vertices[PageRank],"&gt;= "&amp;P29)-COUNTIF(Vertices[PageRank],"&gt;="&amp;P30)</f>
        <v>1</v>
      </c>
      <c r="R29" s="37">
        <f t="shared" si="8"/>
        <v>0.3970588235294118</v>
      </c>
      <c r="S29" s="42">
        <f>COUNTIF(Vertices[Clustering Coefficient],"&gt;= "&amp;R29)-COUNTIF(Vertices[Clustering Coefficient],"&gt;="&amp;R30)</f>
        <v>0</v>
      </c>
      <c r="T29" s="37" t="e">
        <f ca="1" t="shared" si="9"/>
        <v>#REF!</v>
      </c>
      <c r="U29" s="38" t="e">
        <f ca="1" t="shared" si="10"/>
        <v>#REF!</v>
      </c>
    </row>
    <row r="30" spans="1:21" ht="15">
      <c r="A30" s="96"/>
      <c r="B30" s="96"/>
      <c r="D30" s="30">
        <f t="shared" si="1"/>
        <v>5.941176470588236</v>
      </c>
      <c r="E30">
        <f>COUNTIF(Vertices[Degree],"&gt;= "&amp;D30)-COUNTIF(Vertices[Degree],"&gt;="&amp;D31)</f>
        <v>1</v>
      </c>
      <c r="F30" s="35">
        <f t="shared" si="2"/>
        <v>0</v>
      </c>
      <c r="G30" s="36">
        <f>COUNTIF(Vertices[In-Degree],"&gt;= "&amp;F30)-COUNTIF(Vertices[In-Degree],"&gt;="&amp;F31)</f>
        <v>0</v>
      </c>
      <c r="H30" s="35">
        <f t="shared" si="3"/>
        <v>0</v>
      </c>
      <c r="I30" s="36">
        <f>COUNTIF(Vertices[Out-Degree],"&gt;= "&amp;H30)-COUNTIF(Vertices[Out-Degree],"&gt;="&amp;H31)</f>
        <v>0</v>
      </c>
      <c r="J30" s="35">
        <f t="shared" si="4"/>
        <v>216.01176470588243</v>
      </c>
      <c r="K30" s="36">
        <f>COUNTIF(Vertices[Betweenness Centrality],"&gt;= "&amp;J30)-COUNTIF(Vertices[Betweenness Centrality],"&gt;="&amp;J31)</f>
        <v>0</v>
      </c>
      <c r="L30" s="35">
        <f t="shared" si="5"/>
        <v>0.42024541176470537</v>
      </c>
      <c r="M30" s="36">
        <f>COUNTIF(Vertices[Closeness Centrality],"&gt;= "&amp;L30)-COUNTIF(Vertices[Closeness Centrality],"&gt;="&amp;L31)</f>
        <v>1</v>
      </c>
      <c r="N30" s="35">
        <f t="shared" si="6"/>
        <v>0.3056093529411765</v>
      </c>
      <c r="O30" s="36">
        <f>COUNTIF(Vertices[Eigenvector Centrality],"&gt;= "&amp;N30)-COUNTIF(Vertices[Eigenvector Centrality],"&gt;="&amp;N31)</f>
        <v>0</v>
      </c>
      <c r="P30" s="35">
        <f t="shared" si="7"/>
        <v>0.04142182352941181</v>
      </c>
      <c r="Q30" s="36">
        <f>COUNTIF(Vertices[PageRank],"&gt;= "&amp;P30)-COUNTIF(Vertices[PageRank],"&gt;="&amp;P31)</f>
        <v>0</v>
      </c>
      <c r="R30" s="35">
        <f t="shared" si="8"/>
        <v>0.411764705882353</v>
      </c>
      <c r="S30" s="41">
        <f>COUNTIF(Vertices[Clustering Coefficient],"&gt;= "&amp;R30)-COUNTIF(Vertices[Clustering Coefficient],"&gt;="&amp;R31)</f>
        <v>0</v>
      </c>
      <c r="T30" s="35" t="e">
        <f ca="1" t="shared" si="9"/>
        <v>#REF!</v>
      </c>
      <c r="U30" s="36" t="e">
        <f ca="1" t="shared" si="10"/>
        <v>#REF!</v>
      </c>
    </row>
    <row r="31" spans="1:21" ht="15">
      <c r="A31" s="32" t="s">
        <v>377</v>
      </c>
      <c r="B31" s="32"/>
      <c r="D31" s="30">
        <f t="shared" si="1"/>
        <v>6.117647058823531</v>
      </c>
      <c r="E31">
        <f>COUNTIF(Vertices[Degree],"&gt;= "&amp;D31)-COUNTIF(Vertices[Degree],"&gt;="&amp;D32)</f>
        <v>0</v>
      </c>
      <c r="F31" s="37">
        <f t="shared" si="2"/>
        <v>0</v>
      </c>
      <c r="G31" s="38">
        <f>COUNTIF(Vertices[In-Degree],"&gt;= "&amp;F31)-COUNTIF(Vertices[In-Degree],"&gt;="&amp;F32)</f>
        <v>0</v>
      </c>
      <c r="H31" s="37">
        <f t="shared" si="3"/>
        <v>0</v>
      </c>
      <c r="I31" s="38">
        <f>COUNTIF(Vertices[Out-Degree],"&gt;= "&amp;H31)-COUNTIF(Vertices[Out-Degree],"&gt;="&amp;H32)</f>
        <v>0</v>
      </c>
      <c r="J31" s="37">
        <f t="shared" si="4"/>
        <v>223.72647058823537</v>
      </c>
      <c r="K31" s="38">
        <f>COUNTIF(Vertices[Betweenness Centrality],"&gt;= "&amp;J31)-COUNTIF(Vertices[Betweenness Centrality],"&gt;="&amp;J32)</f>
        <v>0</v>
      </c>
      <c r="L31" s="37">
        <f t="shared" si="5"/>
        <v>0.4267071764705877</v>
      </c>
      <c r="M31" s="38">
        <f>COUNTIF(Vertices[Closeness Centrality],"&gt;= "&amp;L31)-COUNTIF(Vertices[Closeness Centrality],"&gt;="&amp;L32)</f>
        <v>0</v>
      </c>
      <c r="N31" s="37">
        <f t="shared" si="6"/>
        <v>0.3158737941176471</v>
      </c>
      <c r="O31" s="38">
        <f>COUNTIF(Vertices[Eigenvector Centrality],"&gt;= "&amp;N31)-COUNTIF(Vertices[Eigenvector Centrality],"&gt;="&amp;N32)</f>
        <v>0</v>
      </c>
      <c r="P31" s="37">
        <f t="shared" si="7"/>
        <v>0.04182085294117652</v>
      </c>
      <c r="Q31" s="38">
        <f>COUNTIF(Vertices[PageRank],"&gt;= "&amp;P31)-COUNTIF(Vertices[PageRank],"&gt;="&amp;P32)</f>
        <v>0</v>
      </c>
      <c r="R31" s="37">
        <f t="shared" si="8"/>
        <v>0.42647058823529416</v>
      </c>
      <c r="S31" s="42">
        <f>COUNTIF(Vertices[Clustering Coefficient],"&gt;= "&amp;R31)-COUNTIF(Vertices[Clustering Coefficient],"&gt;="&amp;R32)</f>
        <v>0</v>
      </c>
      <c r="T31" s="37" t="e">
        <f ca="1" t="shared" si="9"/>
        <v>#REF!</v>
      </c>
      <c r="U31" s="38" t="e">
        <f ca="1" t="shared" si="10"/>
        <v>#REF!</v>
      </c>
    </row>
    <row r="32" spans="1:21" ht="15">
      <c r="A32" s="32" t="s">
        <v>378</v>
      </c>
      <c r="B32" s="32"/>
      <c r="D32" s="30">
        <f t="shared" si="1"/>
        <v>6.294117647058825</v>
      </c>
      <c r="E32">
        <f>COUNTIF(Vertices[Degree],"&gt;= "&amp;D32)-COUNTIF(Vertices[Degree],"&gt;="&amp;D33)</f>
        <v>0</v>
      </c>
      <c r="F32" s="35">
        <f t="shared" si="2"/>
        <v>0</v>
      </c>
      <c r="G32" s="36">
        <f>COUNTIF(Vertices[In-Degree],"&gt;= "&amp;F32)-COUNTIF(Vertices[In-Degree],"&gt;="&amp;F33)</f>
        <v>0</v>
      </c>
      <c r="H32" s="35">
        <f t="shared" si="3"/>
        <v>0</v>
      </c>
      <c r="I32" s="36">
        <f>COUNTIF(Vertices[Out-Degree],"&gt;= "&amp;H32)-COUNTIF(Vertices[Out-Degree],"&gt;="&amp;H33)</f>
        <v>0</v>
      </c>
      <c r="J32" s="35">
        <f t="shared" si="4"/>
        <v>231.44117647058832</v>
      </c>
      <c r="K32" s="36">
        <f>COUNTIF(Vertices[Betweenness Centrality],"&gt;= "&amp;J32)-COUNTIF(Vertices[Betweenness Centrality],"&gt;="&amp;J33)</f>
        <v>0</v>
      </c>
      <c r="L32" s="35">
        <f t="shared" si="5"/>
        <v>0.43316894117647003</v>
      </c>
      <c r="M32" s="36">
        <f>COUNTIF(Vertices[Closeness Centrality],"&gt;= "&amp;L32)-COUNTIF(Vertices[Closeness Centrality],"&gt;="&amp;L33)</f>
        <v>0</v>
      </c>
      <c r="N32" s="35">
        <f t="shared" si="6"/>
        <v>0.3261382352941177</v>
      </c>
      <c r="O32" s="36">
        <f>COUNTIF(Vertices[Eigenvector Centrality],"&gt;= "&amp;N32)-COUNTIF(Vertices[Eigenvector Centrality],"&gt;="&amp;N33)</f>
        <v>0</v>
      </c>
      <c r="P32" s="35">
        <f t="shared" si="7"/>
        <v>0.042219882352941225</v>
      </c>
      <c r="Q32" s="36">
        <f>COUNTIF(Vertices[PageRank],"&gt;= "&amp;P32)-COUNTIF(Vertices[PageRank],"&gt;="&amp;P33)</f>
        <v>0</v>
      </c>
      <c r="R32" s="35">
        <f t="shared" si="8"/>
        <v>0.44117647058823534</v>
      </c>
      <c r="S32" s="41">
        <f>COUNTIF(Vertices[Clustering Coefficient],"&gt;= "&amp;R32)-COUNTIF(Vertices[Clustering Coefficient],"&gt;="&amp;R33)</f>
        <v>0</v>
      </c>
      <c r="T32" s="35" t="e">
        <f ca="1" t="shared" si="9"/>
        <v>#REF!</v>
      </c>
      <c r="U32" s="36" t="e">
        <f ca="1" t="shared" si="10"/>
        <v>#REF!</v>
      </c>
    </row>
    <row r="33" spans="1:21" ht="15">
      <c r="A33" s="32" t="s">
        <v>379</v>
      </c>
      <c r="B33" s="32"/>
      <c r="D33" s="30">
        <f t="shared" si="1"/>
        <v>6.4705882352941195</v>
      </c>
      <c r="E33">
        <f>COUNTIF(Vertices[Degree],"&gt;= "&amp;D33)-COUNTIF(Vertices[Degree],"&gt;="&amp;D34)</f>
        <v>0</v>
      </c>
      <c r="F33" s="37">
        <f t="shared" si="2"/>
        <v>0</v>
      </c>
      <c r="G33" s="38">
        <f>COUNTIF(Vertices[In-Degree],"&gt;= "&amp;F33)-COUNTIF(Vertices[In-Degree],"&gt;="&amp;F34)</f>
        <v>0</v>
      </c>
      <c r="H33" s="37">
        <f t="shared" si="3"/>
        <v>0</v>
      </c>
      <c r="I33" s="38">
        <f>COUNTIF(Vertices[Out-Degree],"&gt;= "&amp;H33)-COUNTIF(Vertices[Out-Degree],"&gt;="&amp;H34)</f>
        <v>0</v>
      </c>
      <c r="J33" s="37">
        <f t="shared" si="4"/>
        <v>239.15588235294126</v>
      </c>
      <c r="K33" s="38">
        <f>COUNTIF(Vertices[Betweenness Centrality],"&gt;= "&amp;J33)-COUNTIF(Vertices[Betweenness Centrality],"&gt;="&amp;J34)</f>
        <v>0</v>
      </c>
      <c r="L33" s="37">
        <f t="shared" si="5"/>
        <v>0.43963070588235237</v>
      </c>
      <c r="M33" s="38">
        <f>COUNTIF(Vertices[Closeness Centrality],"&gt;= "&amp;L33)-COUNTIF(Vertices[Closeness Centrality],"&gt;="&amp;L34)</f>
        <v>0</v>
      </c>
      <c r="N33" s="37">
        <f t="shared" si="6"/>
        <v>0.33640267647058825</v>
      </c>
      <c r="O33" s="38">
        <f>COUNTIF(Vertices[Eigenvector Centrality],"&gt;= "&amp;N33)-COUNTIF(Vertices[Eigenvector Centrality],"&gt;="&amp;N34)</f>
        <v>0</v>
      </c>
      <c r="P33" s="37">
        <f t="shared" si="7"/>
        <v>0.04261891176470593</v>
      </c>
      <c r="Q33" s="38">
        <f>COUNTIF(Vertices[PageRank],"&gt;= "&amp;P33)-COUNTIF(Vertices[PageRank],"&gt;="&amp;P34)</f>
        <v>0</v>
      </c>
      <c r="R33" s="37">
        <f t="shared" si="8"/>
        <v>0.4558823529411765</v>
      </c>
      <c r="S33" s="42">
        <f>COUNTIF(Vertices[Clustering Coefficient],"&gt;= "&amp;R33)-COUNTIF(Vertices[Clustering Coefficient],"&gt;="&amp;R34)</f>
        <v>0</v>
      </c>
      <c r="T33" s="37" t="e">
        <f ca="1" t="shared" si="9"/>
        <v>#REF!</v>
      </c>
      <c r="U33" s="38" t="e">
        <f ca="1" t="shared" si="10"/>
        <v>#REF!</v>
      </c>
    </row>
    <row r="34" spans="1:21" ht="15">
      <c r="A34" s="32" t="s">
        <v>380</v>
      </c>
      <c r="B34" s="32" t="s">
        <v>406</v>
      </c>
      <c r="D34" s="30">
        <f t="shared" si="1"/>
        <v>6.647058823529414</v>
      </c>
      <c r="E34">
        <f>COUNTIF(Vertices[Degree],"&gt;= "&amp;D34)-COUNTIF(Vertices[Degree],"&gt;="&amp;D35)</f>
        <v>0</v>
      </c>
      <c r="F34" s="35">
        <f t="shared" si="2"/>
        <v>0</v>
      </c>
      <c r="G34" s="36">
        <f>COUNTIF(Vertices[In-Degree],"&gt;= "&amp;F34)-COUNTIF(Vertices[In-Degree],"&gt;="&amp;F35)</f>
        <v>0</v>
      </c>
      <c r="H34" s="35">
        <f t="shared" si="3"/>
        <v>0</v>
      </c>
      <c r="I34" s="36">
        <f>COUNTIF(Vertices[Out-Degree],"&gt;= "&amp;H34)-COUNTIF(Vertices[Out-Degree],"&gt;="&amp;H35)</f>
        <v>0</v>
      </c>
      <c r="J34" s="35">
        <f t="shared" si="4"/>
        <v>246.8705882352942</v>
      </c>
      <c r="K34" s="36">
        <f>COUNTIF(Vertices[Betweenness Centrality],"&gt;= "&amp;J34)-COUNTIF(Vertices[Betweenness Centrality],"&gt;="&amp;J35)</f>
        <v>0</v>
      </c>
      <c r="L34" s="35">
        <f t="shared" si="5"/>
        <v>0.4460924705882347</v>
      </c>
      <c r="M34" s="36">
        <f>COUNTIF(Vertices[Closeness Centrality],"&gt;= "&amp;L34)-COUNTIF(Vertices[Closeness Centrality],"&gt;="&amp;L35)</f>
        <v>1</v>
      </c>
      <c r="N34" s="35">
        <f t="shared" si="6"/>
        <v>0.3466671176470588</v>
      </c>
      <c r="O34" s="36">
        <f>COUNTIF(Vertices[Eigenvector Centrality],"&gt;= "&amp;N34)-COUNTIF(Vertices[Eigenvector Centrality],"&gt;="&amp;N35)</f>
        <v>1</v>
      </c>
      <c r="P34" s="35">
        <f t="shared" si="7"/>
        <v>0.04301794117647064</v>
      </c>
      <c r="Q34" s="36">
        <f>COUNTIF(Vertices[PageRank],"&gt;= "&amp;P34)-COUNTIF(Vertices[PageRank],"&gt;="&amp;P35)</f>
        <v>0</v>
      </c>
      <c r="R34" s="35">
        <f t="shared" si="8"/>
        <v>0.4705882352941177</v>
      </c>
      <c r="S34" s="41">
        <f>COUNTIF(Vertices[Clustering Coefficient],"&gt;= "&amp;R34)-COUNTIF(Vertices[Clustering Coefficient],"&gt;="&amp;R35)</f>
        <v>0</v>
      </c>
      <c r="T34" s="35" t="e">
        <f ca="1" t="shared" si="9"/>
        <v>#REF!</v>
      </c>
      <c r="U34" s="36" t="e">
        <f ca="1" t="shared" si="10"/>
        <v>#REF!</v>
      </c>
    </row>
    <row r="35" spans="1:21" ht="15">
      <c r="A35" s="32" t="s">
        <v>381</v>
      </c>
      <c r="B35" s="32" t="s">
        <v>390</v>
      </c>
      <c r="D35" s="30">
        <f t="shared" si="1"/>
        <v>6.823529411764708</v>
      </c>
      <c r="E35">
        <f>COUNTIF(Vertices[Degree],"&gt;= "&amp;D35)-COUNTIF(Vertices[Degree],"&gt;="&amp;D36)</f>
        <v>0</v>
      </c>
      <c r="F35" s="37">
        <f t="shared" si="2"/>
        <v>0</v>
      </c>
      <c r="G35" s="38">
        <f>COUNTIF(Vertices[In-Degree],"&gt;= "&amp;F35)-COUNTIF(Vertices[In-Degree],"&gt;="&amp;F36)</f>
        <v>0</v>
      </c>
      <c r="H35" s="37">
        <f t="shared" si="3"/>
        <v>0</v>
      </c>
      <c r="I35" s="38">
        <f>COUNTIF(Vertices[Out-Degree],"&gt;= "&amp;H35)-COUNTIF(Vertices[Out-Degree],"&gt;="&amp;H36)</f>
        <v>0</v>
      </c>
      <c r="J35" s="37">
        <f t="shared" si="4"/>
        <v>254.58529411764715</v>
      </c>
      <c r="K35" s="38">
        <f>COUNTIF(Vertices[Betweenness Centrality],"&gt;= "&amp;J35)-COUNTIF(Vertices[Betweenness Centrality],"&gt;="&amp;J36)</f>
        <v>0</v>
      </c>
      <c r="L35" s="37">
        <f t="shared" si="5"/>
        <v>0.45255423529411704</v>
      </c>
      <c r="M35" s="38">
        <f>COUNTIF(Vertices[Closeness Centrality],"&gt;= "&amp;L35)-COUNTIF(Vertices[Closeness Centrality],"&gt;="&amp;L36)</f>
        <v>0</v>
      </c>
      <c r="N35" s="37">
        <f t="shared" si="6"/>
        <v>0.3569315588235294</v>
      </c>
      <c r="O35" s="38">
        <f>COUNTIF(Vertices[Eigenvector Centrality],"&gt;= "&amp;N35)-COUNTIF(Vertices[Eigenvector Centrality],"&gt;="&amp;N36)</f>
        <v>2</v>
      </c>
      <c r="P35" s="37">
        <f t="shared" si="7"/>
        <v>0.04341697058823535</v>
      </c>
      <c r="Q35" s="38">
        <f>COUNTIF(Vertices[PageRank],"&gt;= "&amp;P35)-COUNTIF(Vertices[PageRank],"&gt;="&amp;P36)</f>
        <v>0</v>
      </c>
      <c r="R35" s="37">
        <f t="shared" si="8"/>
        <v>0.4852941176470589</v>
      </c>
      <c r="S35" s="42">
        <f>COUNTIF(Vertices[Clustering Coefficient],"&gt;= "&amp;R35)-COUNTIF(Vertices[Clustering Coefficient],"&gt;="&amp;R36)</f>
        <v>0</v>
      </c>
      <c r="T35" s="37" t="e">
        <f ca="1" t="shared" si="9"/>
        <v>#REF!</v>
      </c>
      <c r="U35" s="38" t="e">
        <f ca="1" t="shared" si="10"/>
        <v>#REF!</v>
      </c>
    </row>
    <row r="36" spans="1:21" ht="15">
      <c r="A36" s="32" t="s">
        <v>382</v>
      </c>
      <c r="B36" s="32" t="s">
        <v>283</v>
      </c>
      <c r="D36" s="30">
        <f>MAX(Vertices[Degree])</f>
        <v>7</v>
      </c>
      <c r="E36">
        <f>COUNTIF(Vertices[Degree],"&gt;= "&amp;D36)-COUNTIF(Vertices[Degree],"&gt;="&amp;#REF!)</f>
        <v>1</v>
      </c>
      <c r="F36" s="39">
        <f>MAX(Vertices[In-Degree])</f>
        <v>0</v>
      </c>
      <c r="G36" s="40">
        <f>COUNTIF(Vertices[In-Degree],"&gt;= "&amp;F36)-COUNTIF(Vertices[In-Degree],"&gt;="&amp;#REF!)</f>
        <v>0</v>
      </c>
      <c r="H36" s="39">
        <f>MAX(Vertices[Out-Degree])</f>
        <v>0</v>
      </c>
      <c r="I36" s="40">
        <f>COUNTIF(Vertices[Out-Degree],"&gt;= "&amp;H36)-COUNTIF(Vertices[Out-Degree],"&gt;="&amp;#REF!)</f>
        <v>0</v>
      </c>
      <c r="J36" s="39">
        <f>MAX(Vertices[Betweenness Centrality])</f>
        <v>262.3</v>
      </c>
      <c r="K36" s="40">
        <f>COUNTIF(Vertices[Betweenness Centrality],"&gt;= "&amp;J36)-COUNTIF(Vertices[Betweenness Centrality],"&gt;="&amp;#REF!)</f>
        <v>1</v>
      </c>
      <c r="L36" s="39">
        <f>MAX(Vertices[Closeness Centrality])</f>
        <v>0.459016</v>
      </c>
      <c r="M36" s="40">
        <f>COUNTIF(Vertices[Closeness Centrality],"&gt;= "&amp;L36)-COUNTIF(Vertices[Closeness Centrality],"&gt;="&amp;#REF!)</f>
        <v>1</v>
      </c>
      <c r="N36" s="39">
        <f>MAX(Vertices[Eigenvector Centrality])</f>
        <v>0.367196</v>
      </c>
      <c r="O36" s="40">
        <f>COUNTIF(Vertices[Eigenvector Centrality],"&gt;= "&amp;N36)-COUNTIF(Vertices[Eigenvector Centrality],"&gt;="&amp;#REF!)</f>
        <v>1</v>
      </c>
      <c r="P36" s="39">
        <f>MAX(Vertices[PageRank])</f>
        <v>0.043816</v>
      </c>
      <c r="Q36" s="40">
        <f>COUNTIF(Vertices[PageRank],"&gt;= "&amp;P36)-COUNTIF(Vertices[PageRank],"&gt;="&amp;#REF!)</f>
        <v>1</v>
      </c>
      <c r="R36" s="39">
        <f>MAX(Vertices[Clustering Coefficient])</f>
        <v>0.5</v>
      </c>
      <c r="S36" s="43">
        <f>COUNTIF(Vertices[Clustering Coefficient],"&gt;= "&amp;R36)-COUNTIF(Vertices[Clustering Coefficient],"&gt;="&amp;#REF!)</f>
        <v>1</v>
      </c>
      <c r="T36" s="39" t="e">
        <f ca="1">MAX(INDIRECT(DynamicFilterSourceColumnRange))</f>
        <v>#REF!</v>
      </c>
      <c r="U36" s="40" t="e">
        <f ca="1">COUNTIF(INDIRECT(DynamicFilterSourceColumnRange),"&gt;= "&amp;T36)-COUNTIF(INDIRECT(DynamicFilterSourceColumnRange),"&gt;="&amp;#REF!)</f>
        <v>#REF!</v>
      </c>
    </row>
    <row r="37" spans="1:2" ht="15">
      <c r="A37" s="32" t="s">
        <v>383</v>
      </c>
      <c r="B37" s="32" t="s">
        <v>283</v>
      </c>
    </row>
    <row r="38" spans="1:2" ht="15">
      <c r="A38" s="32" t="s">
        <v>384</v>
      </c>
      <c r="B38" s="32" t="s">
        <v>283</v>
      </c>
    </row>
    <row r="39" spans="1:2" ht="15">
      <c r="A39" s="32" t="s">
        <v>385</v>
      </c>
      <c r="B39" s="32"/>
    </row>
    <row r="40" spans="1:2" ht="15">
      <c r="A40" s="32" t="s">
        <v>21</v>
      </c>
      <c r="B40" s="32"/>
    </row>
    <row r="41" spans="1:2" ht="15">
      <c r="A41" s="32" t="s">
        <v>386</v>
      </c>
      <c r="B41" s="32" t="s">
        <v>34</v>
      </c>
    </row>
    <row r="42" spans="1:2" ht="15">
      <c r="A42" s="32" t="s">
        <v>387</v>
      </c>
      <c r="B42" s="32"/>
    </row>
    <row r="43" spans="1:2" ht="15">
      <c r="A43" s="32" t="s">
        <v>388</v>
      </c>
      <c r="B43" s="32"/>
    </row>
    <row r="60" spans="1:2" ht="15">
      <c r="A60" t="s">
        <v>163</v>
      </c>
      <c r="B60" t="s">
        <v>17</v>
      </c>
    </row>
    <row r="61" spans="1:2" ht="15">
      <c r="A61" s="31"/>
      <c r="B61" s="31"/>
    </row>
    <row r="62" spans="1:2" ht="15">
      <c r="A62" s="31"/>
      <c r="B62" s="31"/>
    </row>
    <row r="63" spans="1:2" ht="15">
      <c r="A63" s="31"/>
      <c r="B63" s="31"/>
    </row>
    <row r="74" spans="1:2" ht="15">
      <c r="A74" s="31" t="s">
        <v>81</v>
      </c>
      <c r="B74" s="44">
        <f>IF(COUNT(Vertices[Degree])&gt;0,D2,NoMetricMessage)</f>
        <v>1</v>
      </c>
    </row>
    <row r="75" spans="1:2" ht="15">
      <c r="A75" s="31" t="s">
        <v>82</v>
      </c>
      <c r="B75" s="44">
        <f>IF(COUNT(Vertices[Degree])&gt;0,D36,NoMetricMessage)</f>
        <v>7</v>
      </c>
    </row>
    <row r="76" spans="1:2" ht="15">
      <c r="A76" s="31" t="s">
        <v>83</v>
      </c>
      <c r="B76" s="45">
        <f>_xlfn.IFERROR(AVERAGE(Vertices[Degree]),NoMetricMessage)</f>
        <v>2.9655172413793105</v>
      </c>
    </row>
    <row r="77" spans="1:2" ht="15">
      <c r="A77" s="31" t="s">
        <v>84</v>
      </c>
      <c r="B77" s="45">
        <f>_xlfn.IFERROR(MEDIAN(Vertices[Degree]),NoMetricMessage)</f>
        <v>3</v>
      </c>
    </row>
    <row r="88" spans="1:2" ht="15">
      <c r="A88" s="31" t="s">
        <v>88</v>
      </c>
      <c r="B88" s="44" t="str">
        <f>IF(COUNT(Vertices[In-Degree])&gt;0,F2,NoMetricMessage)</f>
        <v>Not Available</v>
      </c>
    </row>
    <row r="89" spans="1:2" ht="15">
      <c r="A89" s="31" t="s">
        <v>89</v>
      </c>
      <c r="B89" s="44" t="str">
        <f>IF(COUNT(Vertices[In-Degree])&gt;0,F36,NoMetricMessage)</f>
        <v>Not Available</v>
      </c>
    </row>
    <row r="90" spans="1:2" ht="15">
      <c r="A90" s="31" t="s">
        <v>90</v>
      </c>
      <c r="B90" s="45" t="str">
        <f>_xlfn.IFERROR(AVERAGE(Vertices[In-Degree]),NoMetricMessage)</f>
        <v>Not Available</v>
      </c>
    </row>
    <row r="91" spans="1:2" ht="15">
      <c r="A91" s="31" t="s">
        <v>91</v>
      </c>
      <c r="B91" s="45" t="str">
        <f>_xlfn.IFERROR(MEDIAN(Vertices[In-Degree]),NoMetricMessage)</f>
        <v>Not Available</v>
      </c>
    </row>
    <row r="102" spans="1:2" ht="15">
      <c r="A102" s="31" t="s">
        <v>94</v>
      </c>
      <c r="B102" s="44" t="str">
        <f>IF(COUNT(Vertices[Out-Degree])&gt;0,H2,NoMetricMessage)</f>
        <v>Not Available</v>
      </c>
    </row>
    <row r="103" spans="1:2" ht="15">
      <c r="A103" s="31" t="s">
        <v>95</v>
      </c>
      <c r="B103" s="44" t="str">
        <f>IF(COUNT(Vertices[Out-Degree])&gt;0,H36,NoMetricMessage)</f>
        <v>Not Available</v>
      </c>
    </row>
    <row r="104" spans="1:2" ht="15">
      <c r="A104" s="31" t="s">
        <v>96</v>
      </c>
      <c r="B104" s="45" t="str">
        <f>_xlfn.IFERROR(AVERAGE(Vertices[Out-Degree]),NoMetricMessage)</f>
        <v>Not Available</v>
      </c>
    </row>
    <row r="105" spans="1:2" ht="15">
      <c r="A105" s="31" t="s">
        <v>97</v>
      </c>
      <c r="B105" s="45" t="str">
        <f>_xlfn.IFERROR(MEDIAN(Vertices[Out-Degree]),NoMetricMessage)</f>
        <v>Not Available</v>
      </c>
    </row>
    <row r="116" spans="1:2" ht="15">
      <c r="A116" s="31" t="s">
        <v>100</v>
      </c>
      <c r="B116" s="45">
        <f>IF(COUNT(Vertices[Betweenness Centrality])&gt;0,J2,NoMetricMessage)</f>
        <v>0</v>
      </c>
    </row>
    <row r="117" spans="1:2" ht="15">
      <c r="A117" s="31" t="s">
        <v>101</v>
      </c>
      <c r="B117" s="45">
        <f>IF(COUNT(Vertices[Betweenness Centrality])&gt;0,J36,NoMetricMessage)</f>
        <v>262.3</v>
      </c>
    </row>
    <row r="118" spans="1:2" ht="15">
      <c r="A118" s="31" t="s">
        <v>102</v>
      </c>
      <c r="B118" s="45">
        <f>_xlfn.IFERROR(AVERAGE(Vertices[Betweenness Centrality]),NoMetricMessage)</f>
        <v>58.275862137931036</v>
      </c>
    </row>
    <row r="119" spans="1:2" ht="15">
      <c r="A119" s="31" t="s">
        <v>103</v>
      </c>
      <c r="B119" s="45">
        <f>_xlfn.IFERROR(MEDIAN(Vertices[Betweenness Centrality]),NoMetricMessage)</f>
        <v>46.5</v>
      </c>
    </row>
    <row r="130" spans="1:2" ht="15">
      <c r="A130" s="31" t="s">
        <v>106</v>
      </c>
      <c r="B130" s="45">
        <f>IF(COUNT(Vertices[Closeness Centrality])&gt;0,L2,NoMetricMessage)</f>
        <v>0.239316</v>
      </c>
    </row>
    <row r="131" spans="1:2" ht="15">
      <c r="A131" s="31" t="s">
        <v>107</v>
      </c>
      <c r="B131" s="45">
        <f>IF(COUNT(Vertices[Closeness Centrality])&gt;0,L36,NoMetricMessage)</f>
        <v>0.459016</v>
      </c>
    </row>
    <row r="132" spans="1:2" ht="15">
      <c r="A132" s="31" t="s">
        <v>108</v>
      </c>
      <c r="B132" s="45">
        <f>_xlfn.IFERROR(AVERAGE(Vertices[Closeness Centrality]),NoMetricMessage)</f>
        <v>0.33452393103448286</v>
      </c>
    </row>
    <row r="133" spans="1:2" ht="15">
      <c r="A133" s="31" t="s">
        <v>109</v>
      </c>
      <c r="B133" s="45">
        <f>_xlfn.IFERROR(MEDIAN(Vertices[Closeness Centrality]),NoMetricMessage)</f>
        <v>0.325581</v>
      </c>
    </row>
    <row r="144" spans="1:2" ht="15">
      <c r="A144" s="31" t="s">
        <v>112</v>
      </c>
      <c r="B144" s="45">
        <f>IF(COUNT(Vertices[Eigenvector Centrality])&gt;0,N2,NoMetricMessage)</f>
        <v>0.018205</v>
      </c>
    </row>
    <row r="145" spans="1:2" ht="15">
      <c r="A145" s="31" t="s">
        <v>113</v>
      </c>
      <c r="B145" s="45">
        <f>IF(COUNT(Vertices[Eigenvector Centrality])&gt;0,N36,NoMetricMessage)</f>
        <v>0.367196</v>
      </c>
    </row>
    <row r="146" spans="1:2" ht="15">
      <c r="A146" s="31" t="s">
        <v>114</v>
      </c>
      <c r="B146" s="45">
        <f>_xlfn.IFERROR(AVERAGE(Vertices[Eigenvector Centrality]),NoMetricMessage)</f>
        <v>0.15376041379310343</v>
      </c>
    </row>
    <row r="147" spans="1:2" ht="15">
      <c r="A147" s="31" t="s">
        <v>115</v>
      </c>
      <c r="B147" s="45">
        <f>_xlfn.IFERROR(MEDIAN(Vertices[Eigenvector Centrality]),NoMetricMessage)</f>
        <v>0.146986</v>
      </c>
    </row>
    <row r="158" spans="1:2" ht="15">
      <c r="A158" s="31" t="s">
        <v>140</v>
      </c>
      <c r="B158" s="45">
        <f>IF(COUNT(Vertices[PageRank])&gt;0,P2,NoMetricMessage)</f>
        <v>0.030249</v>
      </c>
    </row>
    <row r="159" spans="1:2" ht="15">
      <c r="A159" s="31" t="s">
        <v>141</v>
      </c>
      <c r="B159" s="45">
        <f>IF(COUNT(Vertices[PageRank])&gt;0,P36,NoMetricMessage)</f>
        <v>0.043816</v>
      </c>
    </row>
    <row r="160" spans="1:2" ht="15">
      <c r="A160" s="31" t="s">
        <v>142</v>
      </c>
      <c r="B160" s="45">
        <f>_xlfn.IFERROR(AVERAGE(Vertices[PageRank]),NoMetricMessage)</f>
        <v>0.034482724137931034</v>
      </c>
    </row>
    <row r="161" spans="1:2" ht="15">
      <c r="A161" s="31" t="s">
        <v>143</v>
      </c>
      <c r="B161" s="45">
        <f>_xlfn.IFERROR(MEDIAN(Vertices[PageRank]),NoMetricMessage)</f>
        <v>0.034374</v>
      </c>
    </row>
    <row r="172" spans="1:2" ht="15">
      <c r="A172" s="31" t="s">
        <v>118</v>
      </c>
      <c r="B172" s="45">
        <f>IF(COUNT(Vertices[Clustering Coefficient])&gt;0,R2,NoMetricMessage)</f>
        <v>0</v>
      </c>
    </row>
    <row r="173" spans="1:2" ht="15">
      <c r="A173" s="31" t="s">
        <v>119</v>
      </c>
      <c r="B173" s="45">
        <f>IF(COUNT(Vertices[Clustering Coefficient])&gt;0,R36,NoMetricMessage)</f>
        <v>0.5</v>
      </c>
    </row>
    <row r="174" spans="1:2" ht="15">
      <c r="A174" s="31" t="s">
        <v>120</v>
      </c>
      <c r="B174" s="45">
        <f>_xlfn.IFERROR(AVERAGE(Vertices[Clustering Coefficient]),NoMetricMessage)</f>
        <v>0.04679802955665025</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29</v>
      </c>
      <c r="K3" t="s">
        <v>30</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342</v>
      </c>
    </row>
    <row r="6" spans="1:18" ht="409.5">
      <c r="A6">
        <v>0</v>
      </c>
      <c r="B6" s="1" t="s">
        <v>136</v>
      </c>
      <c r="C6">
        <v>1</v>
      </c>
      <c r="D6" t="s">
        <v>59</v>
      </c>
      <c r="E6" t="s">
        <v>59</v>
      </c>
      <c r="F6">
        <v>0</v>
      </c>
      <c r="H6" t="s">
        <v>71</v>
      </c>
      <c r="J6" t="s">
        <v>173</v>
      </c>
      <c r="K6" s="7" t="s">
        <v>343</v>
      </c>
      <c r="R6" t="s">
        <v>129</v>
      </c>
    </row>
    <row r="7" spans="1:11" ht="409.5">
      <c r="A7">
        <v>2</v>
      </c>
      <c r="B7">
        <v>1</v>
      </c>
      <c r="C7">
        <v>0</v>
      </c>
      <c r="D7" t="s">
        <v>60</v>
      </c>
      <c r="E7" t="s">
        <v>60</v>
      </c>
      <c r="F7">
        <v>2</v>
      </c>
      <c r="H7" t="s">
        <v>72</v>
      </c>
      <c r="J7" t="s">
        <v>174</v>
      </c>
      <c r="K7" s="7" t="s">
        <v>344</v>
      </c>
    </row>
    <row r="8" spans="1:11" ht="409.5">
      <c r="A8"/>
      <c r="B8">
        <v>2</v>
      </c>
      <c r="C8">
        <v>2</v>
      </c>
      <c r="D8" t="s">
        <v>61</v>
      </c>
      <c r="E8" t="s">
        <v>61</v>
      </c>
      <c r="H8" t="s">
        <v>73</v>
      </c>
      <c r="J8" t="s">
        <v>175</v>
      </c>
      <c r="K8" s="7" t="s">
        <v>345</v>
      </c>
    </row>
    <row r="9" spans="1:11" ht="409.5">
      <c r="A9"/>
      <c r="B9">
        <v>3</v>
      </c>
      <c r="C9">
        <v>4</v>
      </c>
      <c r="D9" t="s">
        <v>62</v>
      </c>
      <c r="E9" t="s">
        <v>62</v>
      </c>
      <c r="H9" t="s">
        <v>74</v>
      </c>
      <c r="J9" t="s">
        <v>176</v>
      </c>
      <c r="K9" s="74" t="s">
        <v>346</v>
      </c>
    </row>
    <row r="10" spans="1:11" ht="15">
      <c r="A10"/>
      <c r="B10">
        <v>4</v>
      </c>
      <c r="D10" t="s">
        <v>63</v>
      </c>
      <c r="E10" t="s">
        <v>63</v>
      </c>
      <c r="H10" t="s">
        <v>75</v>
      </c>
      <c r="J10" t="s">
        <v>177</v>
      </c>
      <c r="K10" t="s">
        <v>347</v>
      </c>
    </row>
    <row r="11" spans="1:11" ht="15">
      <c r="A11"/>
      <c r="B11">
        <v>5</v>
      </c>
      <c r="D11" t="s">
        <v>46</v>
      </c>
      <c r="E11">
        <v>1</v>
      </c>
      <c r="H11" t="s">
        <v>76</v>
      </c>
      <c r="J11" t="s">
        <v>178</v>
      </c>
      <c r="K11" t="s">
        <v>348</v>
      </c>
    </row>
    <row r="12" spans="1:11" ht="15">
      <c r="A12"/>
      <c r="B12"/>
      <c r="D12" t="s">
        <v>64</v>
      </c>
      <c r="E12">
        <v>2</v>
      </c>
      <c r="H12">
        <v>0</v>
      </c>
      <c r="J12" t="s">
        <v>179</v>
      </c>
      <c r="K12" t="s">
        <v>349</v>
      </c>
    </row>
    <row r="13" spans="1:11" ht="15">
      <c r="A13"/>
      <c r="B13"/>
      <c r="D13">
        <v>1</v>
      </c>
      <c r="E13">
        <v>3</v>
      </c>
      <c r="H13">
        <v>1</v>
      </c>
      <c r="J13" t="s">
        <v>180</v>
      </c>
      <c r="K13" t="s">
        <v>350</v>
      </c>
    </row>
    <row r="14" spans="4:11" ht="15">
      <c r="D14">
        <v>2</v>
      </c>
      <c r="E14">
        <v>4</v>
      </c>
      <c r="H14">
        <v>2</v>
      </c>
      <c r="J14" t="s">
        <v>181</v>
      </c>
      <c r="K14" t="s">
        <v>351</v>
      </c>
    </row>
    <row r="15" spans="4:11" ht="15">
      <c r="D15">
        <v>3</v>
      </c>
      <c r="E15">
        <v>5</v>
      </c>
      <c r="H15">
        <v>3</v>
      </c>
      <c r="J15" t="s">
        <v>182</v>
      </c>
      <c r="K15" t="s">
        <v>352</v>
      </c>
    </row>
    <row r="16" spans="4:11" ht="15">
      <c r="D16">
        <v>4</v>
      </c>
      <c r="E16">
        <v>6</v>
      </c>
      <c r="H16">
        <v>4</v>
      </c>
      <c r="J16" t="s">
        <v>183</v>
      </c>
      <c r="K16" t="s">
        <v>353</v>
      </c>
    </row>
    <row r="17" spans="4:11" ht="409.5">
      <c r="D17">
        <v>5</v>
      </c>
      <c r="E17">
        <v>7</v>
      </c>
      <c r="H17">
        <v>5</v>
      </c>
      <c r="J17" t="s">
        <v>184</v>
      </c>
      <c r="K17" s="7" t="s">
        <v>354</v>
      </c>
    </row>
    <row r="18" spans="4:11" ht="409.5">
      <c r="D18">
        <v>6</v>
      </c>
      <c r="E18">
        <v>8</v>
      </c>
      <c r="H18">
        <v>6</v>
      </c>
      <c r="J18" t="s">
        <v>185</v>
      </c>
      <c r="K18" s="7" t="s">
        <v>408</v>
      </c>
    </row>
    <row r="19" spans="4:11" ht="409.5">
      <c r="D19">
        <v>7</v>
      </c>
      <c r="E19">
        <v>9</v>
      </c>
      <c r="H19">
        <v>7</v>
      </c>
      <c r="J19" t="s">
        <v>186</v>
      </c>
      <c r="K19" s="7" t="s">
        <v>409</v>
      </c>
    </row>
    <row r="20" spans="4:11" ht="15">
      <c r="D20">
        <v>8</v>
      </c>
      <c r="H20">
        <v>8</v>
      </c>
      <c r="J20" t="s">
        <v>187</v>
      </c>
      <c r="K20" t="s">
        <v>284</v>
      </c>
    </row>
    <row r="21" spans="4:11" ht="15">
      <c r="D21">
        <v>9</v>
      </c>
      <c r="H21">
        <v>9</v>
      </c>
      <c r="J21" t="s">
        <v>188</v>
      </c>
      <c r="K21" t="s">
        <v>285</v>
      </c>
    </row>
    <row r="22" spans="4:11" ht="15">
      <c r="D22">
        <v>10</v>
      </c>
      <c r="J22" t="s">
        <v>189</v>
      </c>
      <c r="K22" t="s">
        <v>286</v>
      </c>
    </row>
    <row r="23" spans="4:11" ht="15">
      <c r="D23">
        <v>11</v>
      </c>
      <c r="J23" t="s">
        <v>190</v>
      </c>
      <c r="K23" t="s">
        <v>287</v>
      </c>
    </row>
    <row r="24" spans="10:11" ht="15">
      <c r="J24" t="s">
        <v>191</v>
      </c>
      <c r="K24" t="s">
        <v>288</v>
      </c>
    </row>
    <row r="25" spans="10:11" ht="15">
      <c r="J25" t="s">
        <v>192</v>
      </c>
      <c r="K25" t="s">
        <v>289</v>
      </c>
    </row>
    <row r="26" spans="10:11" ht="15">
      <c r="J26" t="s">
        <v>193</v>
      </c>
      <c r="K26" t="s">
        <v>290</v>
      </c>
    </row>
    <row r="27" spans="10:11" ht="15">
      <c r="J27" t="s">
        <v>194</v>
      </c>
      <c r="K27" t="s">
        <v>291</v>
      </c>
    </row>
    <row r="28" spans="10:11" ht="15">
      <c r="J28" t="s">
        <v>195</v>
      </c>
      <c r="K28" t="s">
        <v>292</v>
      </c>
    </row>
    <row r="29" spans="10:11" ht="15">
      <c r="J29" t="s">
        <v>196</v>
      </c>
      <c r="K29" t="s">
        <v>293</v>
      </c>
    </row>
    <row r="30" spans="10:11" ht="15">
      <c r="J30" t="s">
        <v>197</v>
      </c>
      <c r="K30" t="s">
        <v>294</v>
      </c>
    </row>
    <row r="31" spans="10:11" ht="15">
      <c r="J31" t="s">
        <v>198</v>
      </c>
      <c r="K31" t="s">
        <v>295</v>
      </c>
    </row>
    <row r="32" spans="10:11" ht="15">
      <c r="J32" t="s">
        <v>199</v>
      </c>
      <c r="K32" t="s">
        <v>296</v>
      </c>
    </row>
    <row r="33" spans="10:11" ht="15">
      <c r="J33" t="s">
        <v>200</v>
      </c>
      <c r="K33" t="s">
        <v>297</v>
      </c>
    </row>
    <row r="34" spans="10:11" ht="15">
      <c r="J34" t="s">
        <v>201</v>
      </c>
      <c r="K34" t="s">
        <v>298</v>
      </c>
    </row>
    <row r="35" spans="10:11" ht="15">
      <c r="J35" t="s">
        <v>202</v>
      </c>
      <c r="K35" t="s">
        <v>299</v>
      </c>
    </row>
    <row r="36" spans="10:11" ht="15">
      <c r="J36" t="s">
        <v>203</v>
      </c>
      <c r="K36" t="s">
        <v>300</v>
      </c>
    </row>
    <row r="37" spans="10:11" ht="15">
      <c r="J37" t="s">
        <v>204</v>
      </c>
      <c r="K37" t="s">
        <v>301</v>
      </c>
    </row>
    <row r="38" spans="10:11" ht="15">
      <c r="J38" t="s">
        <v>205</v>
      </c>
      <c r="K38" t="s">
        <v>302</v>
      </c>
    </row>
    <row r="39" spans="10:11" ht="15">
      <c r="J39" t="s">
        <v>206</v>
      </c>
      <c r="K39" t="s">
        <v>303</v>
      </c>
    </row>
    <row r="40" spans="10:11" ht="15">
      <c r="J40" t="s">
        <v>207</v>
      </c>
      <c r="K40" t="s">
        <v>304</v>
      </c>
    </row>
    <row r="41" spans="10:11" ht="15">
      <c r="J41" t="s">
        <v>208</v>
      </c>
      <c r="K41" t="s">
        <v>305</v>
      </c>
    </row>
    <row r="42" spans="10:11" ht="15">
      <c r="J42" t="s">
        <v>209</v>
      </c>
      <c r="K42" t="s">
        <v>306</v>
      </c>
    </row>
    <row r="43" spans="10:11" ht="15">
      <c r="J43" t="s">
        <v>210</v>
      </c>
      <c r="K43" t="s">
        <v>307</v>
      </c>
    </row>
    <row r="44" spans="10:11" ht="15">
      <c r="J44" t="s">
        <v>211</v>
      </c>
      <c r="K44" t="s">
        <v>308</v>
      </c>
    </row>
    <row r="45" spans="10:11" ht="15">
      <c r="J45" t="s">
        <v>212</v>
      </c>
      <c r="K45" t="s">
        <v>309</v>
      </c>
    </row>
    <row r="46" spans="10:11" ht="15">
      <c r="J46" t="s">
        <v>213</v>
      </c>
      <c r="K46" t="s">
        <v>310</v>
      </c>
    </row>
    <row r="47" spans="10:11" ht="15">
      <c r="J47" t="s">
        <v>214</v>
      </c>
      <c r="K47" t="s">
        <v>311</v>
      </c>
    </row>
    <row r="48" spans="10:11" ht="15">
      <c r="J48" t="s">
        <v>215</v>
      </c>
      <c r="K48" t="s">
        <v>312</v>
      </c>
    </row>
    <row r="49" spans="10:11" ht="15">
      <c r="J49" t="s">
        <v>216</v>
      </c>
      <c r="K49" t="s">
        <v>313</v>
      </c>
    </row>
    <row r="50" spans="10:11" ht="15">
      <c r="J50" t="s">
        <v>217</v>
      </c>
      <c r="K50" t="s">
        <v>314</v>
      </c>
    </row>
    <row r="51" spans="10:11" ht="15">
      <c r="J51" t="s">
        <v>218</v>
      </c>
      <c r="K51" t="s">
        <v>315</v>
      </c>
    </row>
    <row r="52" spans="10:11" ht="15">
      <c r="J52" t="s">
        <v>219</v>
      </c>
      <c r="K52" t="s">
        <v>316</v>
      </c>
    </row>
    <row r="53" spans="10:11" ht="15">
      <c r="J53" t="s">
        <v>220</v>
      </c>
      <c r="K53" t="s">
        <v>317</v>
      </c>
    </row>
    <row r="54" spans="10:11" ht="15">
      <c r="J54" t="s">
        <v>221</v>
      </c>
      <c r="K54" t="s">
        <v>318</v>
      </c>
    </row>
    <row r="55" spans="10:11" ht="15">
      <c r="J55" t="s">
        <v>222</v>
      </c>
      <c r="K55" t="s">
        <v>319</v>
      </c>
    </row>
    <row r="56" spans="10:11" ht="15">
      <c r="J56" t="s">
        <v>223</v>
      </c>
      <c r="K56" t="s">
        <v>320</v>
      </c>
    </row>
    <row r="57" spans="10:11" ht="15">
      <c r="J57" t="s">
        <v>224</v>
      </c>
      <c r="K57" t="s">
        <v>321</v>
      </c>
    </row>
    <row r="58" spans="10:11" ht="15">
      <c r="J58" t="s">
        <v>225</v>
      </c>
      <c r="K58" t="s">
        <v>322</v>
      </c>
    </row>
    <row r="59" spans="10:11" ht="15">
      <c r="J59" t="s">
        <v>226</v>
      </c>
      <c r="K59" t="s">
        <v>323</v>
      </c>
    </row>
    <row r="60" spans="10:11" ht="15">
      <c r="J60" t="s">
        <v>227</v>
      </c>
      <c r="K60" t="s">
        <v>324</v>
      </c>
    </row>
    <row r="61" spans="10:11" ht="15">
      <c r="J61" t="s">
        <v>228</v>
      </c>
      <c r="K61" t="s">
        <v>325</v>
      </c>
    </row>
    <row r="62" spans="10:11" ht="15">
      <c r="J62" t="s">
        <v>229</v>
      </c>
      <c r="K62" t="s">
        <v>326</v>
      </c>
    </row>
    <row r="63" spans="10:11" ht="15">
      <c r="J63" t="s">
        <v>230</v>
      </c>
      <c r="K63" t="s">
        <v>327</v>
      </c>
    </row>
    <row r="64" spans="10:11" ht="15">
      <c r="J64" t="s">
        <v>231</v>
      </c>
      <c r="K64" t="s">
        <v>328</v>
      </c>
    </row>
    <row r="65" spans="10:11" ht="15">
      <c r="J65" t="s">
        <v>232</v>
      </c>
      <c r="K65" t="s">
        <v>329</v>
      </c>
    </row>
    <row r="66" spans="10:11" ht="15">
      <c r="J66" t="s">
        <v>233</v>
      </c>
      <c r="K66" t="s">
        <v>330</v>
      </c>
    </row>
    <row r="67" spans="10:11" ht="15">
      <c r="J67" t="s">
        <v>234</v>
      </c>
      <c r="K67" t="s">
        <v>331</v>
      </c>
    </row>
    <row r="68" spans="10:11" ht="15">
      <c r="J68" t="s">
        <v>235</v>
      </c>
      <c r="K68" t="s">
        <v>332</v>
      </c>
    </row>
    <row r="69" spans="10:11" ht="15">
      <c r="J69" t="s">
        <v>236</v>
      </c>
      <c r="K69" t="s">
        <v>333</v>
      </c>
    </row>
    <row r="70" spans="10:11" ht="15">
      <c r="J70" t="s">
        <v>237</v>
      </c>
      <c r="K70" t="s">
        <v>334</v>
      </c>
    </row>
    <row r="71" spans="10:11" ht="15">
      <c r="J71" t="s">
        <v>238</v>
      </c>
      <c r="K71" t="s">
        <v>335</v>
      </c>
    </row>
    <row r="72" spans="10:11" ht="15">
      <c r="J72" t="s">
        <v>239</v>
      </c>
      <c r="K72" t="s">
        <v>336</v>
      </c>
    </row>
    <row r="73" spans="10:11" ht="15">
      <c r="J73" t="s">
        <v>240</v>
      </c>
      <c r="K73" t="s">
        <v>337</v>
      </c>
    </row>
    <row r="74" spans="10:11" ht="15">
      <c r="J74" t="s">
        <v>241</v>
      </c>
      <c r="K74" t="s">
        <v>338</v>
      </c>
    </row>
    <row r="75" spans="10:11" ht="409.5">
      <c r="J75" t="s">
        <v>242</v>
      </c>
      <c r="K75" s="7" t="s">
        <v>339</v>
      </c>
    </row>
    <row r="76" spans="10:11" ht="409.5">
      <c r="J76" t="s">
        <v>243</v>
      </c>
      <c r="K76" s="7" t="s">
        <v>340</v>
      </c>
    </row>
    <row r="77" spans="10:11" ht="409.5">
      <c r="J77" t="s">
        <v>244</v>
      </c>
      <c r="K77" s="7" t="s">
        <v>341</v>
      </c>
    </row>
    <row r="78" spans="10:11" ht="409.5">
      <c r="J78" t="s">
        <v>245</v>
      </c>
      <c r="K78" s="7" t="s">
        <v>246</v>
      </c>
    </row>
    <row r="79" spans="10:11" ht="15">
      <c r="J79" t="s">
        <v>247</v>
      </c>
      <c r="K79">
        <v>15</v>
      </c>
    </row>
    <row r="80" spans="10:11" ht="15">
      <c r="J80" t="s">
        <v>368</v>
      </c>
      <c r="K80" t="s">
        <v>405</v>
      </c>
    </row>
    <row r="81" spans="10:11" ht="15">
      <c r="J81" t="s">
        <v>404</v>
      </c>
      <c r="K81" t="s">
        <v>407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CB39D-EF54-46F2-AD75-6DBB23DD5618}">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1" t="s">
        <v>42</v>
      </c>
    </row>
    <row r="2" spans="1:3" ht="15" customHeight="1">
      <c r="A2" s="7" t="s">
        <v>369</v>
      </c>
      <c r="B2" s="95" t="s">
        <v>370</v>
      </c>
      <c r="C2" s="63" t="s">
        <v>371</v>
      </c>
    </row>
    <row r="3" spans="1:3" ht="15">
      <c r="A3" s="94" t="s">
        <v>355</v>
      </c>
      <c r="B3" s="94" t="s">
        <v>355</v>
      </c>
      <c r="C3" s="32">
        <v>10</v>
      </c>
    </row>
    <row r="4" spans="1:3" ht="15">
      <c r="A4" s="94" t="s">
        <v>355</v>
      </c>
      <c r="B4" s="106" t="s">
        <v>356</v>
      </c>
      <c r="C4" s="32">
        <v>2</v>
      </c>
    </row>
    <row r="5" spans="1:3" ht="15">
      <c r="A5" s="94" t="s">
        <v>355</v>
      </c>
      <c r="B5" s="106" t="s">
        <v>357</v>
      </c>
      <c r="C5" s="32">
        <v>1</v>
      </c>
    </row>
    <row r="6" spans="1:3" ht="15">
      <c r="A6" s="94" t="s">
        <v>356</v>
      </c>
      <c r="B6" s="106" t="s">
        <v>355</v>
      </c>
      <c r="C6" s="32">
        <v>1</v>
      </c>
    </row>
    <row r="7" spans="1:3" ht="15">
      <c r="A7" s="94" t="s">
        <v>356</v>
      </c>
      <c r="B7" s="106" t="s">
        <v>356</v>
      </c>
      <c r="C7" s="32">
        <v>9</v>
      </c>
    </row>
    <row r="8" spans="1:3" ht="15">
      <c r="A8" s="94" t="s">
        <v>356</v>
      </c>
      <c r="B8" s="106" t="s">
        <v>359</v>
      </c>
      <c r="C8" s="32">
        <v>1</v>
      </c>
    </row>
    <row r="9" spans="1:3" ht="15">
      <c r="A9" s="94" t="s">
        <v>357</v>
      </c>
      <c r="B9" s="106" t="s">
        <v>356</v>
      </c>
      <c r="C9" s="32">
        <v>2</v>
      </c>
    </row>
    <row r="10" spans="1:3" ht="15">
      <c r="A10" s="94" t="s">
        <v>357</v>
      </c>
      <c r="B10" s="106" t="s">
        <v>357</v>
      </c>
      <c r="C10" s="32">
        <v>5</v>
      </c>
    </row>
    <row r="11" spans="1:3" ht="15">
      <c r="A11" s="94" t="s">
        <v>357</v>
      </c>
      <c r="B11" s="106" t="s">
        <v>358</v>
      </c>
      <c r="C11" s="32">
        <v>1</v>
      </c>
    </row>
    <row r="12" spans="1:3" ht="15">
      <c r="A12" s="94" t="s">
        <v>358</v>
      </c>
      <c r="B12" s="106" t="s">
        <v>355</v>
      </c>
      <c r="C12" s="32">
        <v>2</v>
      </c>
    </row>
    <row r="13" spans="1:3" ht="15">
      <c r="A13" s="94" t="s">
        <v>358</v>
      </c>
      <c r="B13" s="106" t="s">
        <v>356</v>
      </c>
      <c r="C13" s="32">
        <v>1</v>
      </c>
    </row>
    <row r="14" spans="1:3" ht="15">
      <c r="A14" s="94" t="s">
        <v>358</v>
      </c>
      <c r="B14" s="106" t="s">
        <v>358</v>
      </c>
      <c r="C14" s="32">
        <v>4</v>
      </c>
    </row>
    <row r="15" spans="1:3" ht="15">
      <c r="A15" s="94" t="s">
        <v>358</v>
      </c>
      <c r="B15" s="106" t="s">
        <v>359</v>
      </c>
      <c r="C15" s="32">
        <v>1</v>
      </c>
    </row>
    <row r="16" spans="1:3" ht="15">
      <c r="A16" s="94" t="s">
        <v>359</v>
      </c>
      <c r="B16" s="106" t="s">
        <v>355</v>
      </c>
      <c r="C16" s="32">
        <v>1</v>
      </c>
    </row>
    <row r="17" spans="1:3" ht="15">
      <c r="A17" s="107" t="s">
        <v>359</v>
      </c>
      <c r="B17" s="106" t="s">
        <v>359</v>
      </c>
      <c r="C17" s="32">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27F15-AE7D-47C0-988D-1047545EC912}">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391</v>
      </c>
      <c r="B1" s="7" t="s">
        <v>17</v>
      </c>
    </row>
    <row r="2" spans="1:2" ht="15">
      <c r="A2" s="90" t="s">
        <v>392</v>
      </c>
      <c r="B2" s="90"/>
    </row>
    <row r="3" spans="1:2" ht="15">
      <c r="A3" s="92" t="s">
        <v>393</v>
      </c>
      <c r="B3" s="90"/>
    </row>
    <row r="4" spans="1:2" ht="15">
      <c r="A4" s="92" t="s">
        <v>394</v>
      </c>
      <c r="B4" s="90"/>
    </row>
    <row r="5" spans="1:2" ht="15">
      <c r="A5" s="92" t="s">
        <v>395</v>
      </c>
      <c r="B5" s="90"/>
    </row>
    <row r="6" spans="1:2" ht="15">
      <c r="A6" s="92" t="s">
        <v>396</v>
      </c>
      <c r="B6" s="90"/>
    </row>
    <row r="7" spans="1:2" ht="15">
      <c r="A7" s="92" t="s">
        <v>397</v>
      </c>
      <c r="B7" s="9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FE17143-E3C3-4331-879C-9310DB4A95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2024-04-19T14:01:13Z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