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<sst xmlns="http://schemas.openxmlformats.org/spreadsheetml/2006/main" count="691" uniqueCount="425">
  <si>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</si>
  <si>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</si>
  <si>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</si>
  <si>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</si>
  <si>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</si>
  <si>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</si>
  <si>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</si>
  <si>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</si>
  <si>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</si>
  <si>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</si>
  <si>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</si>
  <si>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</si>
  <si>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</si>
  <si>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</si>
  <si>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</si>
  <si>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</si>
  <si>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</si>
  <si>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</si>
  <si>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</si>
  <si>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</si>
  <si>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</si>
  <si>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</si>
  <si>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</si>
  <si>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</si>
  <si>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</si>
  <si>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</si>
  <si>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</si>
  <si>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</si>
  <si>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</si>
  <si>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</si>
  <si>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</si>
  <si>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</si>
  <si>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</si>
  <si>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</si>
  <si>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</si>
  <si>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</si>
  <si>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</si>
  <si>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</si>
  <si>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</si>
  <si>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</si>
  <si>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</si>
  <si>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</si>
  <si>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</si>
  <si>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</si>
  <si>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</si>
  <si>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</si>
  <si>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</si>
  <si>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</si>
  <si>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</si>
  <si>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</si>
  <si>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</si>
  <si>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</si>
  <si>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</si>
  <si>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</si>
  <si>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</si>
  <si>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</si>
  <si>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</si>
  <si>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</si>
  <si>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</si>
  <si>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</si>
  <si>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</si>
  <si>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</si>
  <si>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</si>
  <si>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</si>
  <si>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</si>
  <si>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</si>
  <si>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</si>
  <si>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</si>
  <si>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</si>
  <si>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</si>
  <si>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</si>
  <si>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</si>
  <si>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</si>
  <si>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</si>
  <si>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</si>
  <si>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</si>
  <si>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</si>
  <si>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</si>
  <si>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</si>
  <si>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</si>
  <si>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</si>
  <si>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</si>
  <si>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</si>
  <si>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</si>
  <si>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</si>
  <si>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</si>
  <si>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</si>
  <si>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</si>
  <si>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</si>
  <si>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</si>
  <si>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</si>
  <si>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</si>
  <si>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</si>
  <si>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</si>
  <si>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</si>
  <si>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</si>
  <si>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</si>
  <si>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</si>
  <si>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</si>
  <si>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</si>
  <si>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</si>
  <si>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</si>
  <si>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</si>
  <si>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</si>
  <si>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</si>
  <si>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</si>
  <si>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</si>
  <si>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</si>
  <si>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</si>
  <si>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</si>
  <si>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</si>
  <si>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</si>
  <si>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</si>
  <si>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</si>
  <si>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</si>
  <si>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</si>
  <si>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</si>
  <si>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</si>
  <si>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</si>
  <si>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</si>
  <si>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</si>
  <si>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</si>
  <si>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</si>
  <si>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</si>
  <si>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</si>
  <si>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</si>
  <si>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</si>
  <si>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</si>
  <si>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</si>
  <si>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</si>
  <si>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</si>
  <si>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</si>
  <si>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</si>
  <si>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</si>
  <si>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</si>
  <si>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</si>
  <si>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</si>
  <si>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</si>
  <si>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</si>
  <si>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</si>
  <si>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</si>
  <si>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</si>
  <si>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</si>
  <si>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</si>
  <si>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</si>
  <si>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</si>
  <si>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</si>
  <si>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</si>
  <si>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</si>
  <si>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</si>
  <si>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</si>
  <si>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</si>
  <si>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</si>
  <si>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</si>
  <si>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</si>
  <si>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</si>
  <si>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</si>
  <si>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</si>
  <si>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</si>
  <si>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</si>
  <si>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</si>
  <si>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</si>
  <si>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</si>
  <si>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</si>
  <si>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</si>
  <si>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</si>
  <si>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</si>
  <si>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</si>
  <si>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</si>
  <si>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</si>
  <si>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</si>
  <si>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</si>
  <si>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</si>
  <si>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</si>
  <si>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</si>
  <si>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</si>
  <si>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</si>
  <si>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</si>
  <si>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</si>
  <si>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</si>
  <si>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</si>
  <si>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</si>
  <si>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</si>
  <si>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</si>
  <si>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</si>
  <si>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</si>
  <si>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</si>
  <si>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</si>
  <si>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</si>
  <si>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t>
  </si>
  <si>
    <t>Workbook Settings 17</t>
  </si>
  <si>
    <t xml:space="preserve">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t>
  </si>
  <si>
    <t>Workbook Settings 18</t>
  </si>
  <si>
    <t xml:space="preserve">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t>
  </si>
  <si>
    <t>Workbook Settings 19</t>
  </si>
  <si>
    <t>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t>
  </si>
  <si>
    <t>Workbook Settings 20</t>
  </si>
  <si>
    <t>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t>
  </si>
  <si>
    <t>Workbook Settings 21</t>
  </si>
  <si>
    <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t>
  </si>
  <si>
    <t>Workbook Settings 22</t>
  </si>
  <si>
    <t>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t>
  </si>
  <si>
    <t>Workbook Settings 23</t>
  </si>
  <si>
    <t>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t>
  </si>
  <si>
    <t>Workbook Settings 24</t>
  </si>
  <si>
    <t>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t>
  </si>
  <si>
    <t>Workbook Settings 25</t>
  </si>
  <si>
    <t>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t>
  </si>
  <si>
    <t>Workbook Settings 26</t>
  </si>
  <si>
    <t xml:space="preserve">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t>
  </si>
  <si>
    <t>Workbook Settings 27</t>
  </si>
  <si>
    <t>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t>
  </si>
  <si>
    <t>Workbook Settings 28</t>
  </si>
  <si>
    <t>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t>
  </si>
  <si>
    <t>Workbook Settings 29</t>
  </si>
  <si>
    <t>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t>
  </si>
  <si>
    <t>Workbook Settings 30</t>
  </si>
  <si>
    <t>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t>
  </si>
  <si>
    <t>Workbook Settings 31</t>
  </si>
  <si>
    <t>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t>
  </si>
  <si>
    <t>Workbook Settings 32</t>
  </si>
  <si>
    <t>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t>
  </si>
  <si>
    <t>Workbook Settings 33</t>
  </si>
  <si>
    <t>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t>
  </si>
  <si>
    <t>Workbook Settings 34</t>
  </si>
  <si>
    <t>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t>
  </si>
  <si>
    <t>Workbook Settings 35</t>
  </si>
  <si>
    <t>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t>
  </si>
  <si>
    <t>Workbook Settings 36</t>
  </si>
  <si>
    <t>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t>
  </si>
  <si>
    <t>Workbook Settings 37</t>
  </si>
  <si>
    <t xml:space="preserve">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t>
  </si>
  <si>
    <t>Workbook Settings 38</t>
  </si>
  <si>
    <t>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t>
  </si>
  <si>
    <t>Workbook Settings 39</t>
  </si>
  <si>
    <t>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t>
  </si>
  <si>
    <t>Workbook Settings 40</t>
  </si>
  <si>
    <t>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t>
  </si>
  <si>
    <t>Workbook Settings 41</t>
  </si>
  <si>
    <t>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t>
  </si>
  <si>
    <t>Workbook Settings 42</t>
  </si>
  <si>
    <t xml:space="preserve">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t>
  </si>
  <si>
    <t>Workbook Settings 43</t>
  </si>
  <si>
    <t>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t>
  </si>
  <si>
    <t>Workbook Settings 44</t>
  </si>
  <si>
    <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t>
  </si>
  <si>
    <t>Workbook Settings 45</t>
  </si>
  <si>
    <t>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t>
  </si>
  <si>
    <t>Workbook Settings 46</t>
  </si>
  <si>
    <t>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t>
  </si>
  <si>
    <t>Workbook Settings 47</t>
  </si>
  <si>
    <t>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t>
  </si>
  <si>
    <t>Workbook Settings 48</t>
  </si>
  <si>
    <t>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t>
  </si>
  <si>
    <t>Workbook Settings 49</t>
  </si>
  <si>
    <t>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t>
  </si>
  <si>
    <t>Workbook Settings 50</t>
  </si>
  <si>
    <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t>
  </si>
  <si>
    <t>Workbook Settings 51</t>
  </si>
  <si>
    <t xml:space="preserv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t>
  </si>
  <si>
    <t>Workbook Settings 52</t>
  </si>
  <si>
    <t>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t>
  </si>
  <si>
    <t>Workbook Settings 53</t>
  </si>
  <si>
    <t>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t>
  </si>
  <si>
    <t>Workbook Settings 54</t>
  </si>
  <si>
    <t>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t>
  </si>
  <si>
    <t>Workbook Settings 55</t>
  </si>
  <si>
    <t>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t>
  </si>
  <si>
    <t>Workbook Settings 56</t>
  </si>
  <si>
    <t>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t>
  </si>
  <si>
    <t>Workbook Settings 57</t>
  </si>
  <si>
    <t>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t>
  </si>
  <si>
    <t>Workbook Settings 58</t>
  </si>
  <si>
    <t>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t>
  </si>
  <si>
    <t>Workbook Settings 59</t>
  </si>
  <si>
    <t>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t>
  </si>
  <si>
    <t>Workbook Settings 60</t>
  </si>
  <si>
    <t>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t>
  </si>
  <si>
    <t>Workbook Settings 61</t>
  </si>
  <si>
    <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t>
  </si>
  <si>
    <t>Workbook Settings 62</t>
  </si>
  <si>
    <t>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t>
  </si>
  <si>
    <t>Workbook Settings 63</t>
  </si>
  <si>
    <t xml:space="preserv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t>
  </si>
  <si>
    <t>Workbook Settings 64</t>
  </si>
  <si>
    <t>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t>
  </si>
  <si>
    <t>Workbook Settings 65</t>
  </si>
  <si>
    <t>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t>
  </si>
  <si>
    <t>Workbook Settings 66</t>
  </si>
  <si>
    <t>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t>
  </si>
  <si>
    <t>Workbook Settings 67</t>
  </si>
  <si>
    <t xml:space="preserve">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t>
  </si>
  <si>
    <t>Workbook Settings 68</t>
  </si>
  <si>
    <t>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t>
  </si>
  <si>
    <t>Workbook Settings 69</t>
  </si>
  <si>
    <t>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t>
  </si>
  <si>
    <t>Workbook Settings 70</t>
  </si>
  <si>
    <t>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t>
  </si>
  <si>
    <t>Workbook Settings 71</t>
  </si>
  <si>
    <t>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t>
  </si>
  <si>
    <t>Workbook Settings 72</t>
  </si>
  <si>
    <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t>
  </si>
  <si>
    <t>Workbook Settings 73</t>
  </si>
  <si>
    <t>"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</si>
  <si>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</si>
  <si>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</si>
  <si>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</si>
  <si>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</si>
  <si>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Stan</t>
  </si>
  <si>
    <t>Kyle</t>
  </si>
  <si>
    <t>Cartman</t>
  </si>
  <si>
    <t>Kenny</t>
  </si>
  <si>
    <t>Butters</t>
  </si>
  <si>
    <t>Wendy</t>
  </si>
  <si>
    <t>Randy</t>
  </si>
  <si>
    <t>Mr. Garrison</t>
  </si>
  <si>
    <t>Chef</t>
  </si>
  <si>
    <t>Sheila</t>
  </si>
  <si>
    <t>Jimmy</t>
  </si>
  <si>
    <t>Timmy</t>
  </si>
  <si>
    <t>Token</t>
  </si>
  <si>
    <t>Clyde</t>
  </si>
  <si>
    <t>Craig</t>
  </si>
  <si>
    <t>Tweek</t>
  </si>
  <si>
    <t>Pip</t>
  </si>
  <si>
    <t>Bebe</t>
  </si>
  <si>
    <t>Satan</t>
  </si>
  <si>
    <t>Jesus</t>
  </si>
  <si>
    <t>Principal Victoria</t>
  </si>
  <si>
    <t>Mr. Mackey</t>
  </si>
  <si>
    <t>Terrance</t>
  </si>
  <si>
    <t>Phillip</t>
  </si>
  <si>
    <t>Liane</t>
  </si>
  <si>
    <t>Frequency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</si>
  <si>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</si>
  <si>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t>
  </si>
  <si>
    <t>d you'll you're you've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t>
  </si>
  <si>
    <t xml:space="preserve">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t>
  </si>
  <si>
    <t xml:space="preserve">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t>
  </si>
  <si>
    <t>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t>
  </si>
  <si>
    <t>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t>
  </si>
  <si>
    <t>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</si>
  <si>
    <t>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t>
  </si>
  <si>
    <t>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t>
  </si>
  <si>
    <t xml:space="preserve">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t>
  </si>
  <si>
    <t>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
  </si>
  <si>
    <t>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Green 0, 128, 255 True True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t>
  </si>
  <si>
    <t>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&lt;value&gt;Frequency&lt;/value&gt;
      &lt;/setting&gt;
      &lt;setting name="EdgeAlphaSourceColumnName" serializeAs="String"&gt;
        &lt;value&gt;Frequency&lt;/value&gt;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&lt;value&gt;Frequency&lt;/value&gt;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&lt;value&gt;Betweenness Centrality&lt;/value&gt;
      &lt;/setting&gt;
      &lt;setting name="EdgeAlphaDetails" serializeAs="String"&gt;
        &lt;value&gt;False False 0 0 90 50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&lt;value&gt;0.31&lt;/value&gt;
      &lt;/setting&gt;
    &lt;/GraphZoomAndScaleUserSettings&gt;
    &lt;GeneralUserSettings4&gt;
      &lt;setting name="NewWorkbookGraphDirectedness" serializeAs="String"&gt;
        &lt;value&gt;Undirected&lt;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</si>
  <si>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</si>
  <si>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</si>
  <si>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</si>
  <si>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</si>
  <si>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</si>
  <si>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</si>
  <si>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</si>
  <si>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</si>
  <si>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</si>
  <si>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</si>
  <si>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</si>
  <si>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</si>
  <si>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</si>
  <si>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</si>
  <si>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</si>
  <si>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</si>
  <si>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</si>
  <si>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</si>
  <si>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</si>
  <si>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</si>
  <si>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</si>
  <si>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</si>
  <si>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</si>
  <si>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</si>
  <si>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</si>
  <si>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</si>
  <si>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</si>
  <si>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</si>
  <si>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</si>
  <si>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</si>
  <si>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</si>
  <si>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</si>
  <si>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</si>
  <si>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</si>
  <si>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</si>
  <si>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</si>
  <si>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</si>
  <si>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</si>
  <si>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</si>
  <si>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</si>
  <si>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</si>
  <si>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</si>
  <si>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</si>
  <si>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</si>
  <si>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</si>
  <si>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</si>
  <si>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</si>
  <si>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</si>
  <si>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</si>
  <si>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Red</t>
  </si>
  <si>
    <t>234, 64, 64</t>
  </si>
  <si>
    <t>247, 25, 25</t>
  </si>
  <si>
    <t>213, 128, 128</t>
  </si>
  <si>
    <t>192, 192, 192</t>
  </si>
  <si>
    <t>205, 153, 153</t>
  </si>
  <si>
    <t>222, 103, 103</t>
  </si>
  <si>
    <t>200, 167, 167</t>
  </si>
  <si>
    <t>230, 74, 74</t>
  </si>
  <si>
    <t>195, 182, 182</t>
  </si>
  <si>
    <t>208, 143, 143</t>
  </si>
  <si>
    <t>218, 113, 113</t>
  </si>
  <si>
    <t>0, 128, 255</t>
  </si>
  <si>
    <t>0, 128, 79</t>
  </si>
  <si>
    <t>0, 128, 196</t>
  </si>
  <si>
    <t>0, 128, 189</t>
  </si>
  <si>
    <t>Green</t>
  </si>
  <si>
    <t>0, 128, 170</t>
  </si>
  <si>
    <t>0, 128, 39</t>
  </si>
  <si>
    <t>0, 128, 26</t>
  </si>
  <si>
    <t>Autofill Workbook Results</t>
  </si>
  <si>
    <t>Frequency▓5▓20▓0▓True▓Silver▓Red▓▓Frequency▓5▓20▓0▓3▓10▓False▓Frequency▓5▓20▓0▓90▓50▓False▓Betweenness Centrality▓2▓26▓3▓True▓Green▓0, 128, 255▓▓Betweenness Centrality▓0▓26▓3▓100▓1000▓False▓▓0▓0▓0▓0▓0▓False▓▓0▓0▓0▓0▓0▓False▓▓0▓0▓0▓0▓0▓False</t>
  </si>
  <si>
    <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&lt;/userSettings&gt;
&lt;/configuration&gt;</t>
  </si>
  <si>
    <t>Marked?</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</si>
  <si>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</si>
  <si>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</si>
  <si>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https://nodexlgraphgallery.org/Pages/Graph.aspx?graphID=294670</t>
  </si>
  <si>
    <t>https://nodexlgraphgallery.org/Images/Image.ashx?graphID=294670&amp;type=f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</si>
</sst>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0" fontId="0" fillId="2" borderId="1" xfId="20" applyNumberFormat="1" applyFont="1" applyAlignment="1">
      <alignment wrapText="1"/>
    </xf>
    <xf numFmtId="0" fontId="2" fillId="0" borderId="11" xfId="0" applyFont="1" applyBorder="1" applyAlignment="1">
      <alignment horizontal="center" vertical="top"/>
    </xf>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106464"/>
        <c:axId val="52413857"/>
      </c:barChart>
      <c:catAx>
        <c:axId val="431064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413857"/>
        <c:crosses val="autoZero"/>
        <c:auto val="1"/>
        <c:lblOffset val="100"/>
        <c:noMultiLvlLbl val="0"/>
      </c:catAx>
      <c:valAx>
        <c:axId val="52413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0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62666"/>
        <c:axId val="17663995"/>
      </c:barChart>
      <c:catAx>
        <c:axId val="19626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663995"/>
        <c:crosses val="autoZero"/>
        <c:auto val="1"/>
        <c:lblOffset val="100"/>
        <c:noMultiLvlLbl val="0"/>
      </c:catAx>
      <c:valAx>
        <c:axId val="17663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758228"/>
        <c:axId val="21497461"/>
      </c:barChart>
      <c:catAx>
        <c:axId val="247582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497461"/>
        <c:crosses val="autoZero"/>
        <c:auto val="1"/>
        <c:lblOffset val="100"/>
        <c:noMultiLvlLbl val="0"/>
      </c:catAx>
      <c:valAx>
        <c:axId val="21497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58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259422"/>
        <c:axId val="63572751"/>
      </c:barChart>
      <c:catAx>
        <c:axId val="592594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572751"/>
        <c:crosses val="autoZero"/>
        <c:auto val="1"/>
        <c:lblOffset val="100"/>
        <c:noMultiLvlLbl val="0"/>
      </c:catAx>
      <c:valAx>
        <c:axId val="63572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5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283848"/>
        <c:axId val="49119177"/>
      </c:barChart>
      <c:catAx>
        <c:axId val="352838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119177"/>
        <c:crosses val="autoZero"/>
        <c:auto val="1"/>
        <c:lblOffset val="100"/>
        <c:noMultiLvlLbl val="0"/>
      </c:catAx>
      <c:valAx>
        <c:axId val="49119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3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19410"/>
        <c:axId val="19230371"/>
      </c:barChart>
      <c:catAx>
        <c:axId val="394194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30371"/>
        <c:crosses val="autoZero"/>
        <c:auto val="1"/>
        <c:lblOffset val="100"/>
        <c:noMultiLvlLbl val="0"/>
      </c:catAx>
      <c:valAx>
        <c:axId val="19230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19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855612"/>
        <c:axId val="14156189"/>
      </c:barChart>
      <c:catAx>
        <c:axId val="388556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156189"/>
        <c:crosses val="autoZero"/>
        <c:auto val="1"/>
        <c:lblOffset val="100"/>
        <c:noMultiLvlLbl val="0"/>
      </c:catAx>
      <c:valAx>
        <c:axId val="14156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5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296838"/>
        <c:axId val="5800631"/>
      </c:barChart>
      <c:catAx>
        <c:axId val="602968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00631"/>
        <c:crosses val="autoZero"/>
        <c:auto val="1"/>
        <c:lblOffset val="100"/>
        <c:noMultiLvlLbl val="0"/>
      </c:catAx>
      <c:valAx>
        <c:axId val="5800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96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205680"/>
        <c:axId val="89073"/>
      </c:barChart>
      <c:catAx>
        <c:axId val="52205680"/>
        <c:scaling>
          <c:orientation val="minMax"/>
        </c:scaling>
        <c:axPos val="b"/>
        <c:delete val="1"/>
        <c:majorTickMark val="out"/>
        <c:minorTickMark val="none"/>
        <c:tickLblPos val="none"/>
        <c:crossAx val="89073"/>
        <c:crosses val="autoZero"/>
        <c:auto val="1"/>
        <c:lblOffset val="100"/>
        <c:noMultiLvlLbl val="0"/>
      </c:catAx>
      <c:valAx>
        <c:axId val="89073"/>
        <c:scaling>
          <c:orientation val="minMax"/>
        </c:scaling>
        <c:axPos val="l"/>
        <c:delete val="1"/>
        <c:majorTickMark val="out"/>
        <c:minorTickMark val="none"/>
        <c:tickLblPos val="none"/>
        <c:crossAx val="522056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29" totalsRowShown="0" headerRowDxfId="107" dataDxfId="106">
  <autoFilter ref="A2:P29"/>
  <tableColumns count="16">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96"/>
    <tableColumn id="14" name="Reciprocated?" dataDxfId="95"/>
    <tableColumn id="7" name="ID" dataDxfId="94"/>
    <tableColumn id="9" name="Dynamic Filter" dataDxfId="93"/>
    <tableColumn id="8" name="Frequency" dataDxfId="37"/>
    <tableColumn id="15" name="Vertex 1 Group" dataDxfId="36">
      <calculatedColumnFormula>REPLACE(INDEX(GroupVertices[Group], MATCH("~"&amp;Edges[[#This Row],[Vertex 1]],GroupVertices[Vertex],0)),1,1,"")</calculatedColumnFormula>
    </tableColumn>
    <tableColumn id="16" name="Vertex 2 Group" dataDxfId="35">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19" dataDxfId="18">
  <autoFilter ref="A2:C13"/>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27" totalsRowShown="0" headerRowDxfId="92" dataDxfId="91">
  <autoFilter ref="A2:AE27"/>
  <tableColumns count="31">
    <tableColumn id="1" name="Vertex" dataDxfId="90"/>
    <tableColumn id="2" name="Color" dataDxfId="89"/>
    <tableColumn id="5" name="Shape" dataDxfId="88"/>
    <tableColumn id="6" name="Size" dataDxfId="87"/>
    <tableColumn id="4" name="Opacity" dataDxfId="86"/>
    <tableColumn id="7" name="Image File" dataDxfId="85"/>
    <tableColumn id="3" name="Visibility" dataDxfId="84"/>
    <tableColumn id="10" name="Label" dataDxfId="83"/>
    <tableColumn id="16" name="Label Fill Color" dataDxfId="82"/>
    <tableColumn id="9" name="Label Position" dataDxfId="81"/>
    <tableColumn id="8" name="Tooltip" dataDxfId="80"/>
    <tableColumn id="18" name="Layout Order" dataDxfId="79"/>
    <tableColumn id="13" name="X" dataDxfId="78"/>
    <tableColumn id="14" name="Y" dataDxfId="77"/>
    <tableColumn id="12" name="Locked?" dataDxfId="76"/>
    <tableColumn id="19" name="Polar R" dataDxfId="75"/>
    <tableColumn id="20" name="Polar Angle" dataDxfId="74"/>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73"/>
    <tableColumn id="28" name="Dynamic Filter" dataDxfId="72"/>
    <tableColumn id="17" name="Add Your Own Columns Here" dataDxfId="39"/>
    <tableColumn id="30" name="Vertex Group" dataDxfId="38">
      <calculatedColumnFormula>REPLACE(INDEX(GroupVertices[Group], MATCH("~"&amp;Vertices[[#This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10" totalsRowShown="0" headerRowDxfId="71">
  <autoFilter ref="A2:X10"/>
  <tableColumns count="24">
    <tableColumn id="1" name="Group" dataDxfId="46"/>
    <tableColumn id="2" name="Vertex Color" dataDxfId="45"/>
    <tableColumn id="3" name="Vertex Shape" dataDxfId="43"/>
    <tableColumn id="22" name="Visibility" dataDxfId="44"/>
    <tableColumn id="4" name="Collapsed?"/>
    <tableColumn id="18" name="Label" dataDxfId="70"/>
    <tableColumn id="20" name="Collapsed X"/>
    <tableColumn id="21" name="Collapsed Y"/>
    <tableColumn id="6" name="ID" dataDxfId="69"/>
    <tableColumn id="19" name="Collapsed Properties" dataDxfId="34"/>
    <tableColumn id="5" name="Vertices" dataDxfId="33"/>
    <tableColumn id="7" name="Unique Edges" dataDxfId="32"/>
    <tableColumn id="8" name="Edges With Duplicates" dataDxfId="31"/>
    <tableColumn id="9" name="Total Edges" dataDxfId="30"/>
    <tableColumn id="10" name="Self-Loops" dataDxfId="29"/>
    <tableColumn id="24" name="Reciprocated Vertex Pair Ratio" dataDxfId="28"/>
    <tableColumn id="25" name="Reciprocated Edge Ratio" dataDxfId="27"/>
    <tableColumn id="11" name="Connected Components" dataDxfId="26"/>
    <tableColumn id="12" name="Single-Vertex Connected Components" dataDxfId="25"/>
    <tableColumn id="13" name="Maximum Vertices in a Connected Component" dataDxfId="24"/>
    <tableColumn id="14" name="Maximum Edges in a Connected Component" dataDxfId="23"/>
    <tableColumn id="15" name="Maximum Geodesic Distance (Diameter)" dataDxfId="22"/>
    <tableColumn id="16" name="Average Geodesic Distance" dataDxfId="21"/>
    <tableColumn id="17" name="Graph Density"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68" dataDxfId="67">
  <autoFilter ref="A1:C26"/>
  <tableColumns count="3">
    <tableColumn id="1" name="Group" dataDxfId="42"/>
    <tableColumn id="2" name="Vertex" dataDxfId="41"/>
    <tableColumn id="3" name="Vertex ID" dataDxfId="40">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66"/>
    <tableColumn id="2" name="Degree Frequency" dataDxfId="65">
      <calculatedColumnFormula>COUNTIF(Vertices[Degree], "&gt;= " &amp; D2) - COUNTIF(Vertices[Degree], "&gt;=" &amp; D3)</calculatedColumnFormula>
    </tableColumn>
    <tableColumn id="3" name="In-Degree Bin" dataDxfId="64"/>
    <tableColumn id="4" name="In-Degree Frequency" dataDxfId="63">
      <calculatedColumnFormula>COUNTIF(Vertices[In-Degree], "&gt;= " &amp; F2) - COUNTIF(Vertices[In-Degree], "&gt;=" &amp; F3)</calculatedColumnFormula>
    </tableColumn>
    <tableColumn id="5" name="Out-Degree Bin" dataDxfId="62"/>
    <tableColumn id="6" name="Out-Degree Frequency" dataDxfId="61">
      <calculatedColumnFormula>COUNTIF(Vertices[Out-Degree], "&gt;= " &amp; H2) - COUNTIF(Vertices[Out-Degree], "&gt;=" &amp; H3)</calculatedColumnFormula>
    </tableColumn>
    <tableColumn id="7" name="Betweenness Centrality Bin" dataDxfId="60"/>
    <tableColumn id="8" name="Betweenness Centrality Frequency" dataDxfId="59">
      <calculatedColumnFormula>COUNTIF(Vertices[Betweenness Centrality], "&gt;= " &amp; J2) - COUNTIF(Vertices[Betweenness Centrality], "&gt;=" &amp; J3)</calculatedColumnFormula>
    </tableColumn>
    <tableColumn id="9" name="Closeness Centrality Bin" dataDxfId="58"/>
    <tableColumn id="10" name="Closeness Centrality Frequency" dataDxfId="57">
      <calculatedColumnFormula>COUNTIF(Vertices[Closeness Centrality], "&gt;= " &amp; L2) - COUNTIF(Vertices[Closeness Centrality], "&gt;=" &amp; L3)</calculatedColumnFormula>
    </tableColumn>
    <tableColumn id="11" name="Eigenvector Centrality Bin" dataDxfId="56"/>
    <tableColumn id="12" name="Eigenvector Centrality Frequency" dataDxfId="55">
      <calculatedColumnFormula>COUNTIF(Vertices[Eigenvector Centrality], "&gt;= " &amp; N2) - COUNTIF(Vertices[Eigenvector Centrality], "&gt;=" &amp; N3)</calculatedColumnFormula>
    </tableColumn>
    <tableColumn id="18" name="PageRank Bin" dataDxfId="54"/>
    <tableColumn id="17" name="PageRank Frequency" dataDxfId="53">
      <calculatedColumnFormula>COUNTIF(Vertices[Eigenvector Centrality], "&gt;= " &amp; P2) - COUNTIF(Vertices[Eigenvector Centrality], "&gt;=" &amp; P3)</calculatedColumnFormula>
    </tableColumn>
    <tableColumn id="13" name="Clustering Coefficient Bin" dataDxfId="52"/>
    <tableColumn id="14" name="Clustering Coefficient Frequency" dataDxfId="51">
      <calculatedColumnFormula>COUNTIF(Vertices[Clustering Coefficient], "&gt;= " &amp; R2) - COUNTIF(Vertices[Clustering Coefficient], "&gt;=" &amp; R3)</calculatedColumnFormula>
    </tableColumn>
    <tableColumn id="15" name="Dynamic Filter Bin" dataDxfId="50"/>
    <tableColumn id="16" name="Dynamic Filter Frequency" dataDxfId="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8">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7.2812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4" t="s">
        <v>40</v>
      </c>
      <c r="D1" s="15"/>
      <c r="E1" s="15"/>
      <c r="F1" s="15"/>
      <c r="G1" s="14"/>
      <c r="H1" s="12" t="s">
        <v>44</v>
      </c>
      <c r="I1" s="59"/>
      <c r="J1" s="59"/>
      <c r="K1" s="30" t="s">
        <v>43</v>
      </c>
      <c r="L1" s="16" t="s">
        <v>41</v>
      </c>
      <c r="M1" s="16"/>
      <c r="N1" s="13" t="s">
        <v>42</v>
      </c>
    </row>
    <row r="2" spans="1:16" ht="30" customHeight="1">
      <c r="A2" s="10" t="s">
        <v>0</v>
      </c>
      <c r="B2" s="10" t="s">
        <v>1</v>
      </c>
      <c r="C2" s="7" t="s">
        <v>2</v>
      </c>
      <c r="D2" s="7" t="s">
        <v>3</v>
      </c>
      <c r="E2" s="7" t="s">
        <v>131</v>
      </c>
      <c r="F2" s="7" t="s">
        <v>4</v>
      </c>
      <c r="G2" s="7" t="s">
        <v>11</v>
      </c>
      <c r="H2" s="10" t="s">
        <v>47</v>
      </c>
      <c r="I2" s="7" t="s">
        <v>161</v>
      </c>
      <c r="J2" s="7" t="s">
        <v>162</v>
      </c>
      <c r="K2" s="7" t="s">
        <v>166</v>
      </c>
      <c r="L2" s="7" t="s">
        <v>12</v>
      </c>
      <c r="M2" s="7" t="s">
        <v>39</v>
      </c>
      <c r="N2" s="83" t="s">
        <v>333</v>
      </c>
      <c r="O2" s="7" t="s">
        <v>365</v>
      </c>
      <c r="P2" s="7" t="s">
        <v>366</v>
      </c>
    </row>
    <row r="3" spans="1:16" ht="15" customHeight="1">
      <c r="A3" t="s">
        <v>308</v>
      </c>
      <c r="B3" t="s">
        <v>309</v>
      </c>
      <c r="C3" s="47" t="s">
        <v>397</v>
      </c>
      <c r="D3" s="48">
        <v>10</v>
      </c>
      <c r="E3" s="60"/>
      <c r="F3" s="49">
        <v>50</v>
      </c>
      <c r="G3" s="47"/>
      <c r="H3" s="51"/>
      <c r="I3" s="50"/>
      <c r="J3" s="50"/>
      <c r="K3" s="62"/>
      <c r="L3" s="56">
        <v>3</v>
      </c>
      <c r="M3" s="56"/>
      <c r="N3">
        <v>30</v>
      </c>
      <c r="O3" s="87" t="str">
        <f>REPLACE(INDEX(GroupVertices[Group],MATCH("~"&amp;Edges[[#This Row],[Vertex 1]],GroupVertices[Vertex],0)),1,1,"")</f>
        <v>1</v>
      </c>
      <c r="P3" s="87" t="str">
        <f>REPLACE(INDEX(GroupVertices[Group],MATCH("~"&amp;Edges[[#This Row],[Vertex 2]],GroupVertices[Vertex],0)),1,1,"")</f>
        <v>2</v>
      </c>
    </row>
    <row r="4" spans="1:16" ht="15" customHeight="1">
      <c r="A4" t="s">
        <v>308</v>
      </c>
      <c r="B4" t="s">
        <v>310</v>
      </c>
      <c r="C4" s="47" t="s">
        <v>397</v>
      </c>
      <c r="D4" s="48">
        <v>10</v>
      </c>
      <c r="E4" s="60"/>
      <c r="F4" s="49">
        <v>50</v>
      </c>
      <c r="G4" s="47"/>
      <c r="H4" s="51"/>
      <c r="I4" s="50"/>
      <c r="J4" s="50"/>
      <c r="K4" s="62"/>
      <c r="L4" s="82">
        <v>4</v>
      </c>
      <c r="M4" s="82"/>
      <c r="N4">
        <v>20</v>
      </c>
      <c r="O4" s="87" t="str">
        <f>REPLACE(INDEX(GroupVertices[Group],MATCH("~"&amp;Edges[[#This Row],[Vertex 1]],GroupVertices[Vertex],0)),1,1,"")</f>
        <v>1</v>
      </c>
      <c r="P4" s="87" t="str">
        <f>REPLACE(INDEX(GroupVertices[Group],MATCH("~"&amp;Edges[[#This Row],[Vertex 2]],GroupVertices[Vertex],0)),1,1,"")</f>
        <v>1</v>
      </c>
    </row>
    <row r="5" spans="1:16" ht="15">
      <c r="A5" t="s">
        <v>308</v>
      </c>
      <c r="B5" t="s">
        <v>311</v>
      </c>
      <c r="C5" s="47" t="s">
        <v>397</v>
      </c>
      <c r="D5" s="48">
        <v>10</v>
      </c>
      <c r="E5" s="60"/>
      <c r="F5" s="49">
        <v>50</v>
      </c>
      <c r="G5" s="47"/>
      <c r="H5" s="51"/>
      <c r="I5" s="50"/>
      <c r="J5" s="50"/>
      <c r="K5" s="62"/>
      <c r="L5" s="82">
        <v>5</v>
      </c>
      <c r="M5" s="82"/>
      <c r="N5">
        <v>25</v>
      </c>
      <c r="O5" s="87" t="str">
        <f>REPLACE(INDEX(GroupVertices[Group],MATCH("~"&amp;Edges[[#This Row],[Vertex 1]],GroupVertices[Vertex],0)),1,1,"")</f>
        <v>1</v>
      </c>
      <c r="P5" s="87" t="str">
        <f>REPLACE(INDEX(GroupVertices[Group],MATCH("~"&amp;Edges[[#This Row],[Vertex 2]],GroupVertices[Vertex],0)),1,1,"")</f>
        <v>1</v>
      </c>
    </row>
    <row r="6" spans="1:16" ht="15">
      <c r="A6" t="s">
        <v>309</v>
      </c>
      <c r="B6" t="s">
        <v>310</v>
      </c>
      <c r="C6" s="47" t="s">
        <v>397</v>
      </c>
      <c r="D6" s="48">
        <v>10</v>
      </c>
      <c r="E6" s="60"/>
      <c r="F6" s="49">
        <v>50</v>
      </c>
      <c r="G6" s="47"/>
      <c r="H6" s="51"/>
      <c r="I6" s="50"/>
      <c r="J6" s="50"/>
      <c r="K6" s="62"/>
      <c r="L6" s="82">
        <v>6</v>
      </c>
      <c r="M6" s="82"/>
      <c r="N6">
        <v>28</v>
      </c>
      <c r="O6" s="87" t="str">
        <f>REPLACE(INDEX(GroupVertices[Group],MATCH("~"&amp;Edges[[#This Row],[Vertex 1]],GroupVertices[Vertex],0)),1,1,"")</f>
        <v>2</v>
      </c>
      <c r="P6" s="87" t="str">
        <f>REPLACE(INDEX(GroupVertices[Group],MATCH("~"&amp;Edges[[#This Row],[Vertex 2]],GroupVertices[Vertex],0)),1,1,"")</f>
        <v>1</v>
      </c>
    </row>
    <row r="7" spans="1:16" ht="30">
      <c r="A7" t="s">
        <v>309</v>
      </c>
      <c r="B7" t="s">
        <v>311</v>
      </c>
      <c r="C7" s="47" t="s">
        <v>398</v>
      </c>
      <c r="D7" s="48">
        <v>7.666666666666667</v>
      </c>
      <c r="E7" s="60"/>
      <c r="F7" s="49">
        <v>63.33333333333333</v>
      </c>
      <c r="G7" s="47"/>
      <c r="H7" s="51"/>
      <c r="I7" s="50"/>
      <c r="J7" s="50"/>
      <c r="K7" s="62"/>
      <c r="L7" s="82">
        <v>7</v>
      </c>
      <c r="M7" s="82"/>
      <c r="N7">
        <v>15</v>
      </c>
      <c r="O7" s="87" t="str">
        <f>REPLACE(INDEX(GroupVertices[Group],MATCH("~"&amp;Edges[[#This Row],[Vertex 1]],GroupVertices[Vertex],0)),1,1,"")</f>
        <v>2</v>
      </c>
      <c r="P7" s="87" t="str">
        <f>REPLACE(INDEX(GroupVertices[Group],MATCH("~"&amp;Edges[[#This Row],[Vertex 2]],GroupVertices[Vertex],0)),1,1,"")</f>
        <v>1</v>
      </c>
    </row>
    <row r="8" spans="1:16" ht="30">
      <c r="A8" t="s">
        <v>310</v>
      </c>
      <c r="B8" t="s">
        <v>311</v>
      </c>
      <c r="C8" s="47" t="s">
        <v>399</v>
      </c>
      <c r="D8" s="48">
        <v>9.066666666666666</v>
      </c>
      <c r="E8" s="60"/>
      <c r="F8" s="49">
        <v>55.333333333333336</v>
      </c>
      <c r="G8" s="47"/>
      <c r="H8" s="51"/>
      <c r="I8" s="50"/>
      <c r="J8" s="50"/>
      <c r="K8" s="62"/>
      <c r="L8" s="82">
        <v>8</v>
      </c>
      <c r="M8" s="82"/>
      <c r="N8">
        <v>18</v>
      </c>
      <c r="O8" s="87" t="str">
        <f>REPLACE(INDEX(GroupVertices[Group],MATCH("~"&amp;Edges[[#This Row],[Vertex 1]],GroupVertices[Vertex],0)),1,1,"")</f>
        <v>1</v>
      </c>
      <c r="P8" s="87" t="str">
        <f>REPLACE(INDEX(GroupVertices[Group],MATCH("~"&amp;Edges[[#This Row],[Vertex 2]],GroupVertices[Vertex],0)),1,1,"")</f>
        <v>1</v>
      </c>
    </row>
    <row r="9" spans="1:16" ht="45">
      <c r="A9" t="s">
        <v>308</v>
      </c>
      <c r="B9" t="s">
        <v>312</v>
      </c>
      <c r="C9" s="47" t="s">
        <v>400</v>
      </c>
      <c r="D9" s="48">
        <v>5.333333333333334</v>
      </c>
      <c r="E9" s="60"/>
      <c r="F9" s="49">
        <v>76.66666666666667</v>
      </c>
      <c r="G9" s="47"/>
      <c r="H9" s="51"/>
      <c r="I9" s="50"/>
      <c r="J9" s="50"/>
      <c r="K9" s="62"/>
      <c r="L9" s="82">
        <v>9</v>
      </c>
      <c r="M9" s="82"/>
      <c r="N9">
        <v>10</v>
      </c>
      <c r="O9" s="87" t="str">
        <f>REPLACE(INDEX(GroupVertices[Group],MATCH("~"&amp;Edges[[#This Row],[Vertex 1]],GroupVertices[Vertex],0)),1,1,"")</f>
        <v>1</v>
      </c>
      <c r="P9" s="87" t="str">
        <f>REPLACE(INDEX(GroupVertices[Group],MATCH("~"&amp;Edges[[#This Row],[Vertex 2]],GroupVertices[Vertex],0)),1,1,"")</f>
        <v>1</v>
      </c>
    </row>
    <row r="10" spans="1:16" ht="45">
      <c r="A10" t="s">
        <v>309</v>
      </c>
      <c r="B10" t="s">
        <v>313</v>
      </c>
      <c r="C10" s="47" t="s">
        <v>401</v>
      </c>
      <c r="D10" s="48">
        <v>3</v>
      </c>
      <c r="E10" s="60"/>
      <c r="F10" s="49">
        <v>90</v>
      </c>
      <c r="G10" s="47"/>
      <c r="H10" s="51"/>
      <c r="I10" s="50"/>
      <c r="J10" s="50"/>
      <c r="K10" s="62"/>
      <c r="L10" s="82">
        <v>10</v>
      </c>
      <c r="M10" s="82"/>
      <c r="N10">
        <v>5</v>
      </c>
      <c r="O10" s="87" t="str">
        <f>REPLACE(INDEX(GroupVertices[Group],MATCH("~"&amp;Edges[[#This Row],[Vertex 1]],GroupVertices[Vertex],0)),1,1,"")</f>
        <v>2</v>
      </c>
      <c r="P10" s="87" t="str">
        <f>REPLACE(INDEX(GroupVertices[Group],MATCH("~"&amp;Edges[[#This Row],[Vertex 2]],GroupVertices[Vertex],0)),1,1,"")</f>
        <v>2</v>
      </c>
    </row>
    <row r="11" spans="1:16" ht="45">
      <c r="A11" t="s">
        <v>312</v>
      </c>
      <c r="B11" t="s">
        <v>313</v>
      </c>
      <c r="C11" s="47" t="s">
        <v>401</v>
      </c>
      <c r="D11" s="48">
        <v>3</v>
      </c>
      <c r="E11" s="60"/>
      <c r="F11" s="49">
        <v>90</v>
      </c>
      <c r="G11" s="47"/>
      <c r="H11" s="51"/>
      <c r="I11" s="50"/>
      <c r="J11" s="50"/>
      <c r="K11" s="62"/>
      <c r="L11" s="82">
        <v>11</v>
      </c>
      <c r="M11" s="82"/>
      <c r="N11">
        <v>3</v>
      </c>
      <c r="O11" s="87" t="str">
        <f>REPLACE(INDEX(GroupVertices[Group],MATCH("~"&amp;Edges[[#This Row],[Vertex 1]],GroupVertices[Vertex],0)),1,1,"")</f>
        <v>1</v>
      </c>
      <c r="P11" s="87" t="str">
        <f>REPLACE(INDEX(GroupVertices[Group],MATCH("~"&amp;Edges[[#This Row],[Vertex 2]],GroupVertices[Vertex],0)),1,1,"")</f>
        <v>2</v>
      </c>
    </row>
    <row r="12" spans="1:16" ht="45">
      <c r="A12" t="s">
        <v>314</v>
      </c>
      <c r="B12" t="s">
        <v>315</v>
      </c>
      <c r="C12" s="47" t="s">
        <v>402</v>
      </c>
      <c r="D12" s="48">
        <v>4.4</v>
      </c>
      <c r="E12" s="60"/>
      <c r="F12" s="49">
        <v>82</v>
      </c>
      <c r="G12" s="47"/>
      <c r="H12" s="51"/>
      <c r="I12" s="50"/>
      <c r="J12" s="50"/>
      <c r="K12" s="62"/>
      <c r="L12" s="82">
        <v>12</v>
      </c>
      <c r="M12" s="82"/>
      <c r="N12">
        <v>8</v>
      </c>
      <c r="O12" s="87" t="str">
        <f>REPLACE(INDEX(GroupVertices[Group],MATCH("~"&amp;Edges[[#This Row],[Vertex 1]],GroupVertices[Vertex],0)),1,1,"")</f>
        <v>3</v>
      </c>
      <c r="P12" s="87" t="str">
        <f>REPLACE(INDEX(GroupVertices[Group],MATCH("~"&amp;Edges[[#This Row],[Vertex 2]],GroupVertices[Vertex],0)),1,1,"")</f>
        <v>3</v>
      </c>
    </row>
    <row r="13" spans="1:16" ht="45">
      <c r="A13" t="s">
        <v>316</v>
      </c>
      <c r="B13" t="s">
        <v>310</v>
      </c>
      <c r="C13" s="47" t="s">
        <v>403</v>
      </c>
      <c r="D13" s="48">
        <v>6.266666666666667</v>
      </c>
      <c r="E13" s="60"/>
      <c r="F13" s="49">
        <v>71.33333333333333</v>
      </c>
      <c r="G13" s="47"/>
      <c r="H13" s="51"/>
      <c r="I13" s="50"/>
      <c r="J13" s="50"/>
      <c r="K13" s="62"/>
      <c r="L13" s="82">
        <v>13</v>
      </c>
      <c r="M13" s="82"/>
      <c r="N13">
        <v>12</v>
      </c>
      <c r="O13" s="87" t="str">
        <f>REPLACE(INDEX(GroupVertices[Group],MATCH("~"&amp;Edges[[#This Row],[Vertex 1]],GroupVertices[Vertex],0)),1,1,"")</f>
        <v>3</v>
      </c>
      <c r="P13" s="87" t="str">
        <f>REPLACE(INDEX(GroupVertices[Group],MATCH("~"&amp;Edges[[#This Row],[Vertex 2]],GroupVertices[Vertex],0)),1,1,"")</f>
        <v>1</v>
      </c>
    </row>
    <row r="14" spans="1:16" ht="45">
      <c r="A14" t="s">
        <v>317</v>
      </c>
      <c r="B14" t="s">
        <v>309</v>
      </c>
      <c r="C14" s="47" t="s">
        <v>401</v>
      </c>
      <c r="D14" s="48">
        <v>3</v>
      </c>
      <c r="E14" s="60"/>
      <c r="F14" s="49">
        <v>90</v>
      </c>
      <c r="G14" s="47"/>
      <c r="H14" s="51"/>
      <c r="I14" s="50"/>
      <c r="J14" s="50"/>
      <c r="K14" s="62"/>
      <c r="L14" s="82">
        <v>14</v>
      </c>
      <c r="M14" s="82"/>
      <c r="N14">
        <v>4</v>
      </c>
      <c r="O14" s="87" t="str">
        <f>REPLACE(INDEX(GroupVertices[Group],MATCH("~"&amp;Edges[[#This Row],[Vertex 1]],GroupVertices[Vertex],0)),1,1,"")</f>
        <v>2</v>
      </c>
      <c r="P14" s="87" t="str">
        <f>REPLACE(INDEX(GroupVertices[Group],MATCH("~"&amp;Edges[[#This Row],[Vertex 2]],GroupVertices[Vertex],0)),1,1,"")</f>
        <v>2</v>
      </c>
    </row>
    <row r="15" spans="1:16" ht="15">
      <c r="A15" t="s">
        <v>318</v>
      </c>
      <c r="B15" t="s">
        <v>319</v>
      </c>
      <c r="C15" s="47" t="s">
        <v>397</v>
      </c>
      <c r="D15" s="48">
        <v>10</v>
      </c>
      <c r="E15" s="60"/>
      <c r="F15" s="49">
        <v>50</v>
      </c>
      <c r="G15" s="47"/>
      <c r="H15" s="51"/>
      <c r="I15" s="50"/>
      <c r="J15" s="50"/>
      <c r="K15" s="62"/>
      <c r="L15" s="82">
        <v>15</v>
      </c>
      <c r="M15" s="82"/>
      <c r="N15">
        <v>20</v>
      </c>
      <c r="O15" s="87" t="str">
        <f>REPLACE(INDEX(GroupVertices[Group],MATCH("~"&amp;Edges[[#This Row],[Vertex 1]],GroupVertices[Vertex],0)),1,1,"")</f>
        <v>1</v>
      </c>
      <c r="P15" s="87" t="str">
        <f>REPLACE(INDEX(GroupVertices[Group],MATCH("~"&amp;Edges[[#This Row],[Vertex 2]],GroupVertices[Vertex],0)),1,1,"")</f>
        <v>1</v>
      </c>
    </row>
    <row r="16" spans="1:16" ht="45">
      <c r="A16" t="s">
        <v>320</v>
      </c>
      <c r="B16" t="s">
        <v>321</v>
      </c>
      <c r="C16" s="47" t="s">
        <v>404</v>
      </c>
      <c r="D16" s="48">
        <v>3.9333333333333336</v>
      </c>
      <c r="E16" s="60"/>
      <c r="F16" s="49">
        <v>84.66666666666667</v>
      </c>
      <c r="G16" s="47"/>
      <c r="H16" s="51"/>
      <c r="I16" s="50"/>
      <c r="J16" s="50"/>
      <c r="K16" s="62"/>
      <c r="L16" s="82">
        <v>16</v>
      </c>
      <c r="M16" s="82"/>
      <c r="N16">
        <v>7</v>
      </c>
      <c r="O16" s="87" t="str">
        <f>REPLACE(INDEX(GroupVertices[Group],MATCH("~"&amp;Edges[[#This Row],[Vertex 1]],GroupVertices[Vertex],0)),1,1,"")</f>
        <v>8</v>
      </c>
      <c r="P16" s="87" t="str">
        <f>REPLACE(INDEX(GroupVertices[Group],MATCH("~"&amp;Edges[[#This Row],[Vertex 2]],GroupVertices[Vertex],0)),1,1,"")</f>
        <v>8</v>
      </c>
    </row>
    <row r="17" spans="1:16" ht="30">
      <c r="A17" t="s">
        <v>322</v>
      </c>
      <c r="B17" t="s">
        <v>323</v>
      </c>
      <c r="C17" s="47" t="s">
        <v>405</v>
      </c>
      <c r="D17" s="48">
        <v>7.2</v>
      </c>
      <c r="E17" s="60"/>
      <c r="F17" s="49">
        <v>66</v>
      </c>
      <c r="G17" s="47"/>
      <c r="H17" s="51"/>
      <c r="I17" s="50"/>
      <c r="J17" s="50"/>
      <c r="K17" s="62"/>
      <c r="L17" s="82">
        <v>17</v>
      </c>
      <c r="M17" s="82"/>
      <c r="N17">
        <v>14</v>
      </c>
      <c r="O17" s="87" t="str">
        <f>REPLACE(INDEX(GroupVertices[Group],MATCH("~"&amp;Edges[[#This Row],[Vertex 1]],GroupVertices[Vertex],0)),1,1,"")</f>
        <v>7</v>
      </c>
      <c r="P17" s="87" t="str">
        <f>REPLACE(INDEX(GroupVertices[Group],MATCH("~"&amp;Edges[[#This Row],[Vertex 2]],GroupVertices[Vertex],0)),1,1,"")</f>
        <v>7</v>
      </c>
    </row>
    <row r="18" spans="1:16" ht="45">
      <c r="A18" t="s">
        <v>314</v>
      </c>
      <c r="B18" t="s">
        <v>308</v>
      </c>
      <c r="C18" s="47" t="s">
        <v>406</v>
      </c>
      <c r="D18" s="48">
        <v>3.466666666666667</v>
      </c>
      <c r="E18" s="60"/>
      <c r="F18" s="49">
        <v>87.33333333333333</v>
      </c>
      <c r="G18" s="47"/>
      <c r="H18" s="51"/>
      <c r="I18" s="50"/>
      <c r="J18" s="50"/>
      <c r="K18" s="62"/>
      <c r="L18" s="82">
        <v>18</v>
      </c>
      <c r="M18" s="82"/>
      <c r="N18">
        <v>6</v>
      </c>
      <c r="O18" s="87" t="str">
        <f>REPLACE(INDEX(GroupVertices[Group],MATCH("~"&amp;Edges[[#This Row],[Vertex 1]],GroupVertices[Vertex],0)),1,1,"")</f>
        <v>3</v>
      </c>
      <c r="P18" s="87" t="str">
        <f>REPLACE(INDEX(GroupVertices[Group],MATCH("~"&amp;Edges[[#This Row],[Vertex 2]],GroupVertices[Vertex],0)),1,1,"")</f>
        <v>1</v>
      </c>
    </row>
    <row r="19" spans="1:16" ht="45">
      <c r="A19" t="s">
        <v>315</v>
      </c>
      <c r="B19" t="s">
        <v>316</v>
      </c>
      <c r="C19" s="47" t="s">
        <v>407</v>
      </c>
      <c r="D19" s="48">
        <v>4.866666666666667</v>
      </c>
      <c r="E19" s="60"/>
      <c r="F19" s="49">
        <v>79.33333333333333</v>
      </c>
      <c r="G19" s="47"/>
      <c r="H19" s="51"/>
      <c r="I19" s="50"/>
      <c r="J19" s="50"/>
      <c r="K19" s="62"/>
      <c r="L19" s="82">
        <v>19</v>
      </c>
      <c r="M19" s="82"/>
      <c r="N19">
        <v>9</v>
      </c>
      <c r="O19" s="87" t="str">
        <f>REPLACE(INDEX(GroupVertices[Group],MATCH("~"&amp;Edges[[#This Row],[Vertex 1]],GroupVertices[Vertex],0)),1,1,"")</f>
        <v>3</v>
      </c>
      <c r="P19" s="87" t="str">
        <f>REPLACE(INDEX(GroupVertices[Group],MATCH("~"&amp;Edges[[#This Row],[Vertex 2]],GroupVertices[Vertex],0)),1,1,"")</f>
        <v>3</v>
      </c>
    </row>
    <row r="20" spans="1:16" ht="45">
      <c r="A20" t="s">
        <v>317</v>
      </c>
      <c r="B20" t="s">
        <v>313</v>
      </c>
      <c r="C20" s="47" t="s">
        <v>401</v>
      </c>
      <c r="D20" s="48">
        <v>3</v>
      </c>
      <c r="E20" s="60"/>
      <c r="F20" s="49">
        <v>90</v>
      </c>
      <c r="G20" s="47"/>
      <c r="H20" s="51"/>
      <c r="I20" s="50"/>
      <c r="J20" s="50"/>
      <c r="K20" s="62"/>
      <c r="L20" s="82">
        <v>20</v>
      </c>
      <c r="M20" s="82"/>
      <c r="N20">
        <v>2</v>
      </c>
      <c r="O20" s="87" t="str">
        <f>REPLACE(INDEX(GroupVertices[Group],MATCH("~"&amp;Edges[[#This Row],[Vertex 1]],GroupVertices[Vertex],0)),1,1,"")</f>
        <v>2</v>
      </c>
      <c r="P20" s="87" t="str">
        <f>REPLACE(INDEX(GroupVertices[Group],MATCH("~"&amp;Edges[[#This Row],[Vertex 2]],GroupVertices[Vertex],0)),1,1,"")</f>
        <v>2</v>
      </c>
    </row>
    <row r="21" spans="1:16" ht="45">
      <c r="A21" t="s">
        <v>318</v>
      </c>
      <c r="B21" t="s">
        <v>310</v>
      </c>
      <c r="C21" s="47" t="s">
        <v>401</v>
      </c>
      <c r="D21" s="48">
        <v>3</v>
      </c>
      <c r="E21" s="60"/>
      <c r="F21" s="49">
        <v>90</v>
      </c>
      <c r="G21" s="47"/>
      <c r="H21" s="51"/>
      <c r="I21" s="50"/>
      <c r="J21" s="50"/>
      <c r="K21" s="62"/>
      <c r="L21" s="82">
        <v>21</v>
      </c>
      <c r="M21" s="82"/>
      <c r="N21">
        <v>5</v>
      </c>
      <c r="O21" s="87" t="str">
        <f>REPLACE(INDEX(GroupVertices[Group],MATCH("~"&amp;Edges[[#This Row],[Vertex 1]],GroupVertices[Vertex],0)),1,1,"")</f>
        <v>1</v>
      </c>
      <c r="P21" s="87" t="str">
        <f>REPLACE(INDEX(GroupVertices[Group],MATCH("~"&amp;Edges[[#This Row],[Vertex 2]],GroupVertices[Vertex],0)),1,1,"")</f>
        <v>1</v>
      </c>
    </row>
    <row r="22" spans="1:16" ht="45">
      <c r="A22" t="s">
        <v>319</v>
      </c>
      <c r="B22" t="s">
        <v>308</v>
      </c>
      <c r="C22" s="47" t="s">
        <v>401</v>
      </c>
      <c r="D22" s="48">
        <v>3</v>
      </c>
      <c r="E22" s="60"/>
      <c r="F22" s="49">
        <v>90</v>
      </c>
      <c r="G22" s="47"/>
      <c r="H22" s="51"/>
      <c r="I22" s="50"/>
      <c r="J22" s="50"/>
      <c r="K22" s="62"/>
      <c r="L22" s="82">
        <v>22</v>
      </c>
      <c r="M22" s="82"/>
      <c r="N22">
        <v>3</v>
      </c>
      <c r="O22" s="87" t="str">
        <f>REPLACE(INDEX(GroupVertices[Group],MATCH("~"&amp;Edges[[#This Row],[Vertex 1]],GroupVertices[Vertex],0)),1,1,"")</f>
        <v>1</v>
      </c>
      <c r="P22" s="87" t="str">
        <f>REPLACE(INDEX(GroupVertices[Group],MATCH("~"&amp;Edges[[#This Row],[Vertex 2]],GroupVertices[Vertex],0)),1,1,"")</f>
        <v>1</v>
      </c>
    </row>
    <row r="23" spans="1:16" ht="45">
      <c r="A23" t="s">
        <v>324</v>
      </c>
      <c r="B23" t="s">
        <v>325</v>
      </c>
      <c r="C23" s="47" t="s">
        <v>403</v>
      </c>
      <c r="D23" s="48">
        <v>6.266666666666667</v>
      </c>
      <c r="E23" s="60"/>
      <c r="F23" s="49">
        <v>71.33333333333333</v>
      </c>
      <c r="G23" s="47"/>
      <c r="H23" s="51"/>
      <c r="I23" s="50"/>
      <c r="J23" s="50"/>
      <c r="K23" s="62"/>
      <c r="L23" s="82">
        <v>23</v>
      </c>
      <c r="M23" s="82"/>
      <c r="N23">
        <v>12</v>
      </c>
      <c r="O23" s="87" t="str">
        <f>REPLACE(INDEX(GroupVertices[Group],MATCH("~"&amp;Edges[[#This Row],[Vertex 1]],GroupVertices[Vertex],0)),1,1,"")</f>
        <v>2</v>
      </c>
      <c r="P23" s="87" t="str">
        <f>REPLACE(INDEX(GroupVertices[Group],MATCH("~"&amp;Edges[[#This Row],[Vertex 2]],GroupVertices[Vertex],0)),1,1,"")</f>
        <v>2</v>
      </c>
    </row>
    <row r="24" spans="1:16" ht="15">
      <c r="A24" t="s">
        <v>326</v>
      </c>
      <c r="B24" t="s">
        <v>327</v>
      </c>
      <c r="C24" s="47" t="s">
        <v>397</v>
      </c>
      <c r="D24" s="48">
        <v>10</v>
      </c>
      <c r="E24" s="60"/>
      <c r="F24" s="49">
        <v>50</v>
      </c>
      <c r="G24" s="47"/>
      <c r="H24" s="51"/>
      <c r="I24" s="50"/>
      <c r="J24" s="50"/>
      <c r="K24" s="62"/>
      <c r="L24" s="82">
        <v>24</v>
      </c>
      <c r="M24" s="82"/>
      <c r="N24">
        <v>30</v>
      </c>
      <c r="O24" s="87" t="str">
        <f>REPLACE(INDEX(GroupVertices[Group],MATCH("~"&amp;Edges[[#This Row],[Vertex 1]],GroupVertices[Vertex],0)),1,1,"")</f>
        <v>6</v>
      </c>
      <c r="P24" s="87" t="str">
        <f>REPLACE(INDEX(GroupVertices[Group],MATCH("~"&amp;Edges[[#This Row],[Vertex 2]],GroupVertices[Vertex],0)),1,1,"")</f>
        <v>6</v>
      </c>
    </row>
    <row r="25" spans="1:16" ht="45">
      <c r="A25" t="s">
        <v>328</v>
      </c>
      <c r="B25" t="s">
        <v>329</v>
      </c>
      <c r="C25" s="47" t="s">
        <v>408</v>
      </c>
      <c r="D25" s="48">
        <v>5.8</v>
      </c>
      <c r="E25" s="60"/>
      <c r="F25" s="49">
        <v>74</v>
      </c>
      <c r="G25" s="47"/>
      <c r="H25" s="51"/>
      <c r="I25" s="50"/>
      <c r="J25" s="50"/>
      <c r="K25" s="62"/>
      <c r="L25" s="82">
        <v>25</v>
      </c>
      <c r="M25" s="82"/>
      <c r="N25">
        <v>11</v>
      </c>
      <c r="O25" s="87" t="str">
        <f>REPLACE(INDEX(GroupVertices[Group],MATCH("~"&amp;Edges[[#This Row],[Vertex 1]],GroupVertices[Vertex],0)),1,1,"")</f>
        <v>5</v>
      </c>
      <c r="P25" s="87" t="str">
        <f>REPLACE(INDEX(GroupVertices[Group],MATCH("~"&amp;Edges[[#This Row],[Vertex 2]],GroupVertices[Vertex],0)),1,1,"")</f>
        <v>5</v>
      </c>
    </row>
    <row r="26" spans="1:16" ht="15">
      <c r="A26" t="s">
        <v>330</v>
      </c>
      <c r="B26" t="s">
        <v>331</v>
      </c>
      <c r="C26" s="47" t="s">
        <v>397</v>
      </c>
      <c r="D26" s="48">
        <v>10</v>
      </c>
      <c r="E26" s="60"/>
      <c r="F26" s="49">
        <v>50</v>
      </c>
      <c r="G26" s="47"/>
      <c r="H26" s="51"/>
      <c r="I26" s="50"/>
      <c r="J26" s="50"/>
      <c r="K26" s="62"/>
      <c r="L26" s="82">
        <v>26</v>
      </c>
      <c r="M26" s="82"/>
      <c r="N26">
        <v>25</v>
      </c>
      <c r="O26" s="87" t="str">
        <f>REPLACE(INDEX(GroupVertices[Group],MATCH("~"&amp;Edges[[#This Row],[Vertex 1]],GroupVertices[Vertex],0)),1,1,"")</f>
        <v>4</v>
      </c>
      <c r="P26" s="87" t="str">
        <f>REPLACE(INDEX(GroupVertices[Group],MATCH("~"&amp;Edges[[#This Row],[Vertex 2]],GroupVertices[Vertex],0)),1,1,"")</f>
        <v>4</v>
      </c>
    </row>
    <row r="27" spans="1:16" ht="30">
      <c r="A27" t="s">
        <v>332</v>
      </c>
      <c r="B27" t="s">
        <v>310</v>
      </c>
      <c r="C27" s="47" t="s">
        <v>398</v>
      </c>
      <c r="D27" s="48">
        <v>7.666666666666667</v>
      </c>
      <c r="E27" s="60"/>
      <c r="F27" s="49">
        <v>63.33333333333333</v>
      </c>
      <c r="G27" s="47"/>
      <c r="H27" s="51"/>
      <c r="I27" s="50"/>
      <c r="J27" s="50"/>
      <c r="K27" s="62"/>
      <c r="L27" s="82">
        <v>27</v>
      </c>
      <c r="M27" s="82"/>
      <c r="N27">
        <v>15</v>
      </c>
      <c r="O27" s="87" t="str">
        <f>REPLACE(INDEX(GroupVertices[Group],MATCH("~"&amp;Edges[[#This Row],[Vertex 1]],GroupVertices[Vertex],0)),1,1,"")</f>
        <v>1</v>
      </c>
      <c r="P27" s="87" t="str">
        <f>REPLACE(INDEX(GroupVertices[Group],MATCH("~"&amp;Edges[[#This Row],[Vertex 2]],GroupVertices[Vertex],0)),1,1,"")</f>
        <v>1</v>
      </c>
    </row>
    <row r="28" spans="1:16" ht="45">
      <c r="A28" t="s">
        <v>311</v>
      </c>
      <c r="B28" t="s">
        <v>312</v>
      </c>
      <c r="C28" s="47" t="s">
        <v>402</v>
      </c>
      <c r="D28" s="48">
        <v>4.4</v>
      </c>
      <c r="E28" s="60"/>
      <c r="F28" s="49">
        <v>82</v>
      </c>
      <c r="G28" s="47"/>
      <c r="H28" s="51"/>
      <c r="I28" s="50"/>
      <c r="J28" s="50"/>
      <c r="K28" s="62"/>
      <c r="L28" s="82">
        <v>28</v>
      </c>
      <c r="M28" s="82"/>
      <c r="N28">
        <v>8</v>
      </c>
      <c r="O28" s="87" t="str">
        <f>REPLACE(INDEX(GroupVertices[Group],MATCH("~"&amp;Edges[[#This Row],[Vertex 1]],GroupVertices[Vertex],0)),1,1,"")</f>
        <v>1</v>
      </c>
      <c r="P28" s="87" t="str">
        <f>REPLACE(INDEX(GroupVertices[Group],MATCH("~"&amp;Edges[[#This Row],[Vertex 2]],GroupVertices[Vertex],0)),1,1,"")</f>
        <v>1</v>
      </c>
    </row>
    <row r="29" spans="1:16" ht="45">
      <c r="A29" t="s">
        <v>313</v>
      </c>
      <c r="B29" t="s">
        <v>325</v>
      </c>
      <c r="C29" s="47" t="s">
        <v>400</v>
      </c>
      <c r="D29" s="48">
        <v>5.333333333333334</v>
      </c>
      <c r="E29" s="60"/>
      <c r="F29" s="49">
        <v>76.66666666666667</v>
      </c>
      <c r="G29" s="47"/>
      <c r="H29" s="51"/>
      <c r="I29" s="50"/>
      <c r="J29" s="50"/>
      <c r="K29" s="62"/>
      <c r="L29" s="82">
        <v>29</v>
      </c>
      <c r="M29" s="82"/>
      <c r="N29">
        <v>10</v>
      </c>
      <c r="O29" s="87" t="str">
        <f>REPLACE(INDEX(GroupVertices[Group],MATCH("~"&amp;Edges[[#This Row],[Vertex 1]],GroupVertices[Vertex],0)),1,1,"")</f>
        <v>2</v>
      </c>
      <c r="P29" s="87" t="str">
        <f>REPLACE(INDEX(GroupVertices[Group],MATCH("~"&amp;Edges[[#This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7"/>
  <sheetViews>
    <sheetView tabSelected="1" workbookViewId="0" topLeftCell="A1">
      <pane xSplit="1" ySplit="2" topLeftCell="B3" activePane="bottomRight" state="frozen"/>
      <selection pane="topRight" activeCell="B1" sqref="B1"/>
      <selection pane="bottomLeft" activeCell="A3" sqref="A3"/>
      <selection pane="bottomRight" activeCell="A2" sqref="A2:AE2"/>
    </sheetView>
  </sheetViews>
  <sheetFormatPr defaultColWidth="9.140625" defaultRowHeight="15"/>
  <cols>
    <col min="1" max="1" width="22.0039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140625" style="2" bestFit="1" customWidth="1"/>
    <col min="31" max="31" width="11.0039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40</v>
      </c>
      <c r="C1" s="14"/>
      <c r="D1" s="14"/>
      <c r="E1" s="14"/>
      <c r="F1" s="14"/>
      <c r="G1" s="14"/>
      <c r="H1" s="23" t="s">
        <v>44</v>
      </c>
      <c r="I1" s="22"/>
      <c r="J1" s="22"/>
      <c r="K1" s="22"/>
      <c r="L1" s="25" t="s">
        <v>45</v>
      </c>
      <c r="M1" s="24"/>
      <c r="N1" s="24"/>
      <c r="O1" s="24"/>
      <c r="P1" s="24"/>
      <c r="Q1" s="24"/>
      <c r="R1" s="20" t="s">
        <v>43</v>
      </c>
      <c r="S1" s="17"/>
      <c r="T1" s="18"/>
      <c r="U1" s="19"/>
      <c r="V1" s="17"/>
      <c r="W1" s="17"/>
      <c r="X1" s="17"/>
      <c r="Y1" s="17"/>
      <c r="Z1" s="17"/>
      <c r="AA1" s="26" t="s">
        <v>41</v>
      </c>
      <c r="AB1" s="16"/>
      <c r="AC1" s="27" t="s">
        <v>42</v>
      </c>
      <c r="AD1"/>
    </row>
    <row r="2" spans="1:31" ht="30" customHeight="1">
      <c r="A2" s="10" t="s">
        <v>5</v>
      </c>
      <c r="B2" s="7" t="s">
        <v>2</v>
      </c>
      <c r="C2" s="7" t="s">
        <v>8</v>
      </c>
      <c r="D2" s="8" t="s">
        <v>46</v>
      </c>
      <c r="E2" s="9" t="s">
        <v>4</v>
      </c>
      <c r="F2" s="7" t="s">
        <v>49</v>
      </c>
      <c r="G2" s="7" t="s">
        <v>11</v>
      </c>
      <c r="H2" s="7" t="s">
        <v>47</v>
      </c>
      <c r="I2" s="7" t="s">
        <v>48</v>
      </c>
      <c r="J2" s="7" t="s">
        <v>78</v>
      </c>
      <c r="K2" s="7" t="s">
        <v>10</v>
      </c>
      <c r="L2" s="7" t="s">
        <v>27</v>
      </c>
      <c r="M2" s="7" t="s">
        <v>15</v>
      </c>
      <c r="N2" s="7" t="s">
        <v>16</v>
      </c>
      <c r="O2" s="7" t="s">
        <v>13</v>
      </c>
      <c r="P2" s="7" t="s">
        <v>28</v>
      </c>
      <c r="Q2" s="7" t="s">
        <v>29</v>
      </c>
      <c r="R2" s="7" t="s">
        <v>32</v>
      </c>
      <c r="S2" s="7" t="s">
        <v>33</v>
      </c>
      <c r="T2" s="7" t="s">
        <v>34</v>
      </c>
      <c r="U2" s="7" t="s">
        <v>35</v>
      </c>
      <c r="V2" s="7" t="s">
        <v>36</v>
      </c>
      <c r="W2" s="7" t="s">
        <v>37</v>
      </c>
      <c r="X2" s="7" t="s">
        <v>138</v>
      </c>
      <c r="Y2" s="7" t="s">
        <v>38</v>
      </c>
      <c r="Z2" s="7" t="s">
        <v>171</v>
      </c>
      <c r="AA2" s="10" t="s">
        <v>12</v>
      </c>
      <c r="AB2" s="10" t="s">
        <v>39</v>
      </c>
      <c r="AC2" s="7" t="s">
        <v>26</v>
      </c>
      <c r="AD2" s="7" t="s">
        <v>364</v>
      </c>
      <c r="AE2" t="s">
        <v>420</v>
      </c>
    </row>
    <row r="3" spans="1:30" ht="15" customHeight="1">
      <c r="A3" t="s">
        <v>308</v>
      </c>
      <c r="B3" s="47" t="s">
        <v>409</v>
      </c>
      <c r="C3" s="47"/>
      <c r="D3" s="48">
        <v>1000</v>
      </c>
      <c r="E3" s="49"/>
      <c r="F3" s="47"/>
      <c r="G3" s="47"/>
      <c r="H3" s="51" t="s">
        <v>308</v>
      </c>
      <c r="I3" s="50"/>
      <c r="J3" s="50"/>
      <c r="K3" s="51"/>
      <c r="L3" s="53">
        <v>8048.1707709618095</v>
      </c>
      <c r="M3" s="54">
        <v>2150.799560546875</v>
      </c>
      <c r="N3" s="54">
        <v>7282.96484375</v>
      </c>
      <c r="O3" s="52" t="s">
        <v>67</v>
      </c>
      <c r="P3" s="55"/>
      <c r="Q3" s="55"/>
      <c r="R3" s="45"/>
      <c r="S3" s="45">
        <v>2</v>
      </c>
      <c r="T3" s="45">
        <v>4</v>
      </c>
      <c r="U3" s="46">
        <v>55</v>
      </c>
      <c r="V3" s="46">
        <v>0.326667</v>
      </c>
      <c r="W3" s="46">
        <v>0.461244</v>
      </c>
      <c r="X3" s="46">
        <v>0.045592</v>
      </c>
      <c r="Y3" s="46">
        <v>0.13333333333333333</v>
      </c>
      <c r="Z3" s="46">
        <v>0</v>
      </c>
      <c r="AA3" s="56">
        <v>3</v>
      </c>
      <c r="AB3" s="56"/>
      <c r="AC3" s="57"/>
      <c r="AD3" s="87" t="str">
        <f>REPLACE(INDEX(GroupVertices[Group],MATCH("~"&amp;Vertices[[#This Row],[Vertex]],GroupVertices[Vertex],0)),1,1,"")</f>
        <v>1</v>
      </c>
    </row>
    <row r="4" spans="1:32" ht="15">
      <c r="A4" t="s">
        <v>309</v>
      </c>
      <c r="B4" s="11" t="s">
        <v>409</v>
      </c>
      <c r="C4" s="11"/>
      <c r="D4" s="74">
        <v>1000</v>
      </c>
      <c r="E4" s="75"/>
      <c r="F4" s="11"/>
      <c r="G4" s="11"/>
      <c r="H4" s="12" t="s">
        <v>309</v>
      </c>
      <c r="I4" s="61"/>
      <c r="J4" s="61"/>
      <c r="K4" s="12"/>
      <c r="L4" s="76">
        <v>8487.107358468817</v>
      </c>
      <c r="M4" s="77">
        <v>1132.79443359375</v>
      </c>
      <c r="N4" s="77">
        <v>2671.7578125</v>
      </c>
      <c r="O4" s="72" t="s">
        <v>67</v>
      </c>
      <c r="P4" s="78"/>
      <c r="Q4" s="78"/>
      <c r="R4" s="79"/>
      <c r="S4" s="45">
        <v>2</v>
      </c>
      <c r="T4" s="45">
        <v>3</v>
      </c>
      <c r="U4" s="46">
        <v>58</v>
      </c>
      <c r="V4" s="46">
        <v>0.326667</v>
      </c>
      <c r="W4" s="46">
        <v>0.429171</v>
      </c>
      <c r="X4" s="46">
        <v>0.042225</v>
      </c>
      <c r="Y4" s="46">
        <v>0.2</v>
      </c>
      <c r="Z4" s="46">
        <v>0</v>
      </c>
      <c r="AA4" s="80">
        <v>4</v>
      </c>
      <c r="AB4" s="80"/>
      <c r="AC4" s="81"/>
      <c r="AD4" s="87" t="str">
        <f>REPLACE(INDEX(GroupVertices[Group],MATCH("~"&amp;Vertices[[#This Row],[Vertex]],GroupVertices[Vertex],0)),1,1,"")</f>
        <v>2</v>
      </c>
      <c r="AF4" s="2"/>
    </row>
    <row r="5" spans="1:32" ht="15">
      <c r="A5" t="s">
        <v>310</v>
      </c>
      <c r="B5" s="11" t="s">
        <v>409</v>
      </c>
      <c r="C5" s="11"/>
      <c r="D5" s="74">
        <v>1000</v>
      </c>
      <c r="E5" s="75"/>
      <c r="F5" s="11"/>
      <c r="G5" s="11"/>
      <c r="H5" s="12" t="s">
        <v>310</v>
      </c>
      <c r="I5" s="61"/>
      <c r="J5" s="61"/>
      <c r="K5" s="12"/>
      <c r="L5" s="76">
        <v>9999</v>
      </c>
      <c r="M5" s="77">
        <v>2151.621337890625</v>
      </c>
      <c r="N5" s="77">
        <v>5096.28515625</v>
      </c>
      <c r="O5" s="72" t="s">
        <v>67</v>
      </c>
      <c r="P5" s="78"/>
      <c r="Q5" s="78"/>
      <c r="R5" s="79"/>
      <c r="S5" s="45">
        <v>5</v>
      </c>
      <c r="T5" s="45">
        <v>1</v>
      </c>
      <c r="U5" s="46">
        <v>68.333333</v>
      </c>
      <c r="V5" s="46">
        <v>0.326667</v>
      </c>
      <c r="W5" s="46">
        <v>0.422926</v>
      </c>
      <c r="X5" s="46">
        <v>0.048892</v>
      </c>
      <c r="Y5" s="46">
        <v>0.1</v>
      </c>
      <c r="Z5" s="46">
        <v>0</v>
      </c>
      <c r="AA5" s="80">
        <v>5</v>
      </c>
      <c r="AB5" s="80"/>
      <c r="AC5" s="81"/>
      <c r="AD5" s="87" t="str">
        <f>REPLACE(INDEX(GroupVertices[Group],MATCH("~"&amp;Vertices[[#This Row],[Vertex]],GroupVertices[Vertex],0)),1,1,"")</f>
        <v>1</v>
      </c>
      <c r="AF5" s="2"/>
    </row>
    <row r="6" spans="1:32" ht="15">
      <c r="A6" t="s">
        <v>311</v>
      </c>
      <c r="B6" s="11" t="s">
        <v>410</v>
      </c>
      <c r="C6" s="11"/>
      <c r="D6" s="74">
        <v>249.99998846153846</v>
      </c>
      <c r="E6" s="75"/>
      <c r="F6" s="11"/>
      <c r="G6" s="11"/>
      <c r="H6" s="12" t="s">
        <v>311</v>
      </c>
      <c r="I6" s="61"/>
      <c r="J6" s="61"/>
      <c r="K6" s="12"/>
      <c r="L6" s="76">
        <v>635.0194665171681</v>
      </c>
      <c r="M6" s="77">
        <v>880.1644897460938</v>
      </c>
      <c r="N6" s="77">
        <v>8969.6875</v>
      </c>
      <c r="O6" s="72" t="s">
        <v>67</v>
      </c>
      <c r="P6" s="78"/>
      <c r="Q6" s="78"/>
      <c r="R6" s="79"/>
      <c r="S6" s="45">
        <v>3</v>
      </c>
      <c r="T6" s="45">
        <v>1</v>
      </c>
      <c r="U6" s="46">
        <v>4.333333</v>
      </c>
      <c r="V6" s="46">
        <v>0.291667</v>
      </c>
      <c r="W6" s="46">
        <v>0.403255</v>
      </c>
      <c r="X6" s="46">
        <v>0.039541</v>
      </c>
      <c r="Y6" s="46">
        <v>0.3333333333333333</v>
      </c>
      <c r="Z6" s="46">
        <v>0</v>
      </c>
      <c r="AA6" s="80">
        <v>6</v>
      </c>
      <c r="AB6" s="80"/>
      <c r="AC6" s="81"/>
      <c r="AD6" s="87" t="str">
        <f>REPLACE(INDEX(GroupVertices[Group],MATCH("~"&amp;Vertices[[#This Row],[Vertex]],GroupVertices[Vertex],0)),1,1,"")</f>
        <v>1</v>
      </c>
      <c r="AF6" s="2"/>
    </row>
    <row r="7" spans="1:32" ht="15">
      <c r="A7" t="s">
        <v>312</v>
      </c>
      <c r="B7" s="11" t="s">
        <v>411</v>
      </c>
      <c r="C7" s="11"/>
      <c r="D7" s="74">
        <v>584.6153846153846</v>
      </c>
      <c r="E7" s="75"/>
      <c r="F7" s="11"/>
      <c r="G7" s="11"/>
      <c r="H7" s="12" t="s">
        <v>312</v>
      </c>
      <c r="I7" s="61"/>
      <c r="J7" s="61"/>
      <c r="K7" s="12"/>
      <c r="L7" s="76">
        <v>2049.37074169937</v>
      </c>
      <c r="M7" s="77">
        <v>4245.85986328125</v>
      </c>
      <c r="N7" s="77">
        <v>9091.1708984375</v>
      </c>
      <c r="O7" s="72" t="s">
        <v>67</v>
      </c>
      <c r="P7" s="78"/>
      <c r="Q7" s="78"/>
      <c r="R7" s="79"/>
      <c r="S7" s="45">
        <v>2</v>
      </c>
      <c r="T7" s="45">
        <v>1</v>
      </c>
      <c r="U7" s="46">
        <v>14</v>
      </c>
      <c r="V7" s="46">
        <v>0.272222</v>
      </c>
      <c r="W7" s="46">
        <v>0.279281</v>
      </c>
      <c r="X7" s="46">
        <v>0.038236</v>
      </c>
      <c r="Y7" s="46">
        <v>0.16666666666666666</v>
      </c>
      <c r="Z7" s="46">
        <v>0</v>
      </c>
      <c r="AA7" s="80">
        <v>7</v>
      </c>
      <c r="AB7" s="80"/>
      <c r="AC7" s="81"/>
      <c r="AD7" s="87" t="str">
        <f>REPLACE(INDEX(GroupVertices[Group],MATCH("~"&amp;Vertices[[#This Row],[Vertex]],GroupVertices[Vertex],0)),1,1,"")</f>
        <v>1</v>
      </c>
      <c r="AF7" s="2"/>
    </row>
    <row r="8" spans="1:32" ht="15">
      <c r="A8" t="s">
        <v>313</v>
      </c>
      <c r="B8" s="11" t="s">
        <v>409</v>
      </c>
      <c r="C8" s="11"/>
      <c r="D8" s="74">
        <v>1000</v>
      </c>
      <c r="E8" s="75"/>
      <c r="F8" s="11"/>
      <c r="G8" s="11"/>
      <c r="H8" s="12" t="s">
        <v>313</v>
      </c>
      <c r="I8" s="61"/>
      <c r="J8" s="61"/>
      <c r="K8" s="12"/>
      <c r="L8" s="76">
        <v>7414.15130444464</v>
      </c>
      <c r="M8" s="77">
        <v>4172.208984375</v>
      </c>
      <c r="N8" s="77">
        <v>1849.8856201171875</v>
      </c>
      <c r="O8" s="72" t="s">
        <v>67</v>
      </c>
      <c r="P8" s="78"/>
      <c r="Q8" s="78"/>
      <c r="R8" s="79"/>
      <c r="S8" s="45">
        <v>3</v>
      </c>
      <c r="T8" s="45">
        <v>1</v>
      </c>
      <c r="U8" s="46">
        <v>50.666667</v>
      </c>
      <c r="V8" s="46">
        <v>0.263441</v>
      </c>
      <c r="W8" s="46">
        <v>0.238534</v>
      </c>
      <c r="X8" s="46">
        <v>0.043033</v>
      </c>
      <c r="Y8" s="46">
        <v>0.08333333333333333</v>
      </c>
      <c r="Z8" s="46">
        <v>0</v>
      </c>
      <c r="AA8" s="80">
        <v>8</v>
      </c>
      <c r="AB8" s="80"/>
      <c r="AC8" s="81"/>
      <c r="AD8" s="87" t="str">
        <f>REPLACE(INDEX(GroupVertices[Group],MATCH("~"&amp;Vertices[[#This Row],[Vertex]],GroupVertices[Vertex],0)),1,1,"")</f>
        <v>2</v>
      </c>
      <c r="AF8" s="2"/>
    </row>
    <row r="9" spans="1:32" ht="15">
      <c r="A9" t="s">
        <v>314</v>
      </c>
      <c r="B9" s="11" t="s">
        <v>412</v>
      </c>
      <c r="C9" s="11"/>
      <c r="D9" s="74">
        <v>550</v>
      </c>
      <c r="E9" s="75"/>
      <c r="F9" s="11"/>
      <c r="G9" s="11"/>
      <c r="H9" s="12" t="s">
        <v>314</v>
      </c>
      <c r="I9" s="61"/>
      <c r="J9" s="61"/>
      <c r="K9" s="12"/>
      <c r="L9" s="76">
        <v>1903.0585458637004</v>
      </c>
      <c r="M9" s="77">
        <v>6443.09228515625</v>
      </c>
      <c r="N9" s="77">
        <v>9070.04296875</v>
      </c>
      <c r="O9" s="72" t="s">
        <v>67</v>
      </c>
      <c r="P9" s="78"/>
      <c r="Q9" s="78"/>
      <c r="R9" s="79"/>
      <c r="S9" s="45">
        <v>0</v>
      </c>
      <c r="T9" s="45">
        <v>2</v>
      </c>
      <c r="U9" s="46">
        <v>13</v>
      </c>
      <c r="V9" s="46">
        <v>0.233333</v>
      </c>
      <c r="W9" s="46">
        <v>0.133247</v>
      </c>
      <c r="X9" s="46">
        <v>0.038119</v>
      </c>
      <c r="Y9" s="46">
        <v>0</v>
      </c>
      <c r="Z9" s="46">
        <v>0</v>
      </c>
      <c r="AA9" s="80">
        <v>9</v>
      </c>
      <c r="AB9" s="80"/>
      <c r="AC9" s="81"/>
      <c r="AD9" s="87" t="str">
        <f>REPLACE(INDEX(GroupVertices[Group],MATCH("~"&amp;Vertices[[#This Row],[Vertex]],GroupVertices[Vertex],0)),1,1,"")</f>
        <v>3</v>
      </c>
      <c r="AF9" s="2"/>
    </row>
    <row r="10" spans="1:32" ht="15">
      <c r="A10" t="s">
        <v>315</v>
      </c>
      <c r="B10" s="11" t="s">
        <v>413</v>
      </c>
      <c r="C10" s="11"/>
      <c r="D10" s="74">
        <v>169.23076923076923</v>
      </c>
      <c r="E10" s="75"/>
      <c r="F10" s="11"/>
      <c r="G10" s="11"/>
      <c r="H10" s="12" t="s">
        <v>315</v>
      </c>
      <c r="I10" s="61"/>
      <c r="J10" s="61"/>
      <c r="K10" s="12"/>
      <c r="L10" s="76">
        <v>293.6243916713385</v>
      </c>
      <c r="M10" s="77">
        <v>6927.88037109375</v>
      </c>
      <c r="N10" s="77">
        <v>7686.892578125</v>
      </c>
      <c r="O10" s="72" t="s">
        <v>67</v>
      </c>
      <c r="P10" s="78"/>
      <c r="Q10" s="78"/>
      <c r="R10" s="79"/>
      <c r="S10" s="45">
        <v>1</v>
      </c>
      <c r="T10" s="45">
        <v>1</v>
      </c>
      <c r="U10" s="46">
        <v>2</v>
      </c>
      <c r="V10" s="46">
        <v>0.189922</v>
      </c>
      <c r="W10" s="46">
        <v>0.065023</v>
      </c>
      <c r="X10" s="46">
        <v>0.039724</v>
      </c>
      <c r="Y10" s="46">
        <v>0</v>
      </c>
      <c r="Z10" s="46">
        <v>0</v>
      </c>
      <c r="AA10" s="80">
        <v>10</v>
      </c>
      <c r="AB10" s="80"/>
      <c r="AC10" s="81"/>
      <c r="AD10" s="87" t="str">
        <f>REPLACE(INDEX(GroupVertices[Group],MATCH("~"&amp;Vertices[[#This Row],[Vertex]],GroupVertices[Vertex],0)),1,1,"")</f>
        <v>3</v>
      </c>
      <c r="AF10" s="2"/>
    </row>
    <row r="11" spans="1:32" ht="15">
      <c r="A11" t="s">
        <v>316</v>
      </c>
      <c r="B11" s="11" t="s">
        <v>414</v>
      </c>
      <c r="C11" s="11"/>
      <c r="D11" s="74">
        <v>480.7692307692308</v>
      </c>
      <c r="E11" s="75"/>
      <c r="F11" s="11"/>
      <c r="G11" s="11"/>
      <c r="H11" s="12" t="s">
        <v>316</v>
      </c>
      <c r="I11" s="61"/>
      <c r="J11" s="61"/>
      <c r="K11" s="12"/>
      <c r="L11" s="76">
        <v>1610.4341541923618</v>
      </c>
      <c r="M11" s="77">
        <v>5700.06689453125</v>
      </c>
      <c r="N11" s="77">
        <v>6808.142578125</v>
      </c>
      <c r="O11" s="72" t="s">
        <v>67</v>
      </c>
      <c r="P11" s="78"/>
      <c r="Q11" s="78"/>
      <c r="R11" s="79"/>
      <c r="S11" s="45">
        <v>1</v>
      </c>
      <c r="T11" s="45">
        <v>1</v>
      </c>
      <c r="U11" s="46">
        <v>11</v>
      </c>
      <c r="V11" s="46">
        <v>0.233333</v>
      </c>
      <c r="W11" s="46">
        <v>0.123546</v>
      </c>
      <c r="X11" s="46">
        <v>0.038202</v>
      </c>
      <c r="Y11" s="46">
        <v>0</v>
      </c>
      <c r="Z11" s="46">
        <v>0</v>
      </c>
      <c r="AA11" s="80">
        <v>11</v>
      </c>
      <c r="AB11" s="80"/>
      <c r="AC11" s="81"/>
      <c r="AD11" s="87" t="str">
        <f>REPLACE(INDEX(GroupVertices[Group],MATCH("~"&amp;Vertices[[#This Row],[Vertex]],GroupVertices[Vertex],0)),1,1,"")</f>
        <v>3</v>
      </c>
      <c r="AF11" s="2"/>
    </row>
    <row r="12" spans="1:32" ht="15">
      <c r="A12" t="s">
        <v>317</v>
      </c>
      <c r="B12" s="11"/>
      <c r="C12" s="11"/>
      <c r="D12" s="74">
        <v>100</v>
      </c>
      <c r="E12" s="75"/>
      <c r="F12" s="11"/>
      <c r="G12" s="11"/>
      <c r="H12" s="12" t="s">
        <v>317</v>
      </c>
      <c r="I12" s="61"/>
      <c r="J12" s="61"/>
      <c r="K12" s="12"/>
      <c r="L12" s="76">
        <v>1</v>
      </c>
      <c r="M12" s="77">
        <v>3757.5859375</v>
      </c>
      <c r="N12" s="77">
        <v>3422.451904296875</v>
      </c>
      <c r="O12" s="72" t="s">
        <v>67</v>
      </c>
      <c r="P12" s="78"/>
      <c r="Q12" s="78"/>
      <c r="R12" s="79"/>
      <c r="S12" s="45">
        <v>0</v>
      </c>
      <c r="T12" s="45">
        <v>2</v>
      </c>
      <c r="U12" s="46">
        <v>0</v>
      </c>
      <c r="V12" s="46">
        <v>0.240196</v>
      </c>
      <c r="W12" s="46">
        <v>0.169063</v>
      </c>
      <c r="X12" s="46">
        <v>0.03688</v>
      </c>
      <c r="Y12" s="46">
        <v>0.5</v>
      </c>
      <c r="Z12" s="46">
        <v>0</v>
      </c>
      <c r="AA12" s="80">
        <v>12</v>
      </c>
      <c r="AB12" s="80"/>
      <c r="AC12" s="81"/>
      <c r="AD12" s="87" t="str">
        <f>REPLACE(INDEX(GroupVertices[Group],MATCH("~"&amp;Vertices[[#This Row],[Vertex]],GroupVertices[Vertex],0)),1,1,"")</f>
        <v>2</v>
      </c>
      <c r="AF12" s="2"/>
    </row>
    <row r="13" spans="1:32" ht="15">
      <c r="A13" t="s">
        <v>318</v>
      </c>
      <c r="B13" s="11" t="s">
        <v>415</v>
      </c>
      <c r="C13" s="11"/>
      <c r="D13" s="74">
        <v>203.84615384615384</v>
      </c>
      <c r="E13" s="75"/>
      <c r="F13" s="11"/>
      <c r="G13" s="11"/>
      <c r="H13" s="12" t="s">
        <v>318</v>
      </c>
      <c r="I13" s="61"/>
      <c r="J13" s="61"/>
      <c r="K13" s="12"/>
      <c r="L13" s="76">
        <v>439.93658750700774</v>
      </c>
      <c r="M13" s="77">
        <v>3638.31103515625</v>
      </c>
      <c r="N13" s="77">
        <v>4896.5693359375</v>
      </c>
      <c r="O13" s="72" t="s">
        <v>67</v>
      </c>
      <c r="P13" s="78"/>
      <c r="Q13" s="78"/>
      <c r="R13" s="79"/>
      <c r="S13" s="45">
        <v>0</v>
      </c>
      <c r="T13" s="45">
        <v>2</v>
      </c>
      <c r="U13" s="46">
        <v>3</v>
      </c>
      <c r="V13" s="46">
        <v>0.226852</v>
      </c>
      <c r="W13" s="46">
        <v>0.146015</v>
      </c>
      <c r="X13" s="46">
        <v>0.038072</v>
      </c>
      <c r="Y13" s="46">
        <v>0</v>
      </c>
      <c r="Z13" s="46">
        <v>0</v>
      </c>
      <c r="AA13" s="80">
        <v>13</v>
      </c>
      <c r="AB13" s="80"/>
      <c r="AC13" s="81"/>
      <c r="AD13" s="87" t="str">
        <f>REPLACE(INDEX(GroupVertices[Group],MATCH("~"&amp;Vertices[[#This Row],[Vertex]],GroupVertices[Vertex],0)),1,1,"")</f>
        <v>1</v>
      </c>
      <c r="AF13" s="2"/>
    </row>
    <row r="14" spans="1:32" ht="15">
      <c r="A14" t="s">
        <v>319</v>
      </c>
      <c r="B14" s="11" t="s">
        <v>416</v>
      </c>
      <c r="C14" s="11"/>
      <c r="D14" s="74">
        <v>192.30770384615383</v>
      </c>
      <c r="E14" s="75"/>
      <c r="F14" s="11"/>
      <c r="G14" s="11"/>
      <c r="H14" s="12" t="s">
        <v>319</v>
      </c>
      <c r="I14" s="61"/>
      <c r="J14" s="61"/>
      <c r="K14" s="12"/>
      <c r="L14" s="76">
        <v>391.1659043325166</v>
      </c>
      <c r="M14" s="77">
        <v>4402.14306640625</v>
      </c>
      <c r="N14" s="77">
        <v>6004.90771484375</v>
      </c>
      <c r="O14" s="72" t="s">
        <v>67</v>
      </c>
      <c r="P14" s="78"/>
      <c r="Q14" s="78"/>
      <c r="R14" s="79"/>
      <c r="S14" s="45">
        <v>1</v>
      </c>
      <c r="T14" s="45">
        <v>1</v>
      </c>
      <c r="U14" s="46">
        <v>2.666667</v>
      </c>
      <c r="V14" s="46">
        <v>0.226852</v>
      </c>
      <c r="W14" s="46">
        <v>0.153756</v>
      </c>
      <c r="X14" s="46">
        <v>0.037995</v>
      </c>
      <c r="Y14" s="46">
        <v>0</v>
      </c>
      <c r="Z14" s="46">
        <v>0</v>
      </c>
      <c r="AA14" s="80">
        <v>14</v>
      </c>
      <c r="AB14" s="80"/>
      <c r="AC14" s="81"/>
      <c r="AD14" s="87" t="str">
        <f>REPLACE(INDEX(GroupVertices[Group],MATCH("~"&amp;Vertices[[#This Row],[Vertex]],GroupVertices[Vertex],0)),1,1,"")</f>
        <v>1</v>
      </c>
      <c r="AF14" s="2"/>
    </row>
    <row r="15" spans="1:32" ht="15">
      <c r="A15" t="s">
        <v>320</v>
      </c>
      <c r="B15" s="11"/>
      <c r="C15" s="11"/>
      <c r="D15" s="74">
        <v>100</v>
      </c>
      <c r="E15" s="75"/>
      <c r="F15" s="11"/>
      <c r="G15" s="11"/>
      <c r="H15" s="12" t="s">
        <v>320</v>
      </c>
      <c r="I15" s="61"/>
      <c r="J15" s="61"/>
      <c r="K15" s="12"/>
      <c r="L15" s="76">
        <v>1</v>
      </c>
      <c r="M15" s="77">
        <v>5562.07666015625</v>
      </c>
      <c r="N15" s="77">
        <v>4058.417724609375</v>
      </c>
      <c r="O15" s="72" t="s">
        <v>67</v>
      </c>
      <c r="P15" s="78"/>
      <c r="Q15" s="78"/>
      <c r="R15" s="79"/>
      <c r="S15" s="45">
        <v>0</v>
      </c>
      <c r="T15" s="45">
        <v>1</v>
      </c>
      <c r="U15" s="46">
        <v>0</v>
      </c>
      <c r="V15" s="46">
        <v>0.041667</v>
      </c>
      <c r="W15" s="46">
        <v>0</v>
      </c>
      <c r="X15" s="46">
        <v>0.04</v>
      </c>
      <c r="Y15" s="46">
        <v>0</v>
      </c>
      <c r="Z15" s="46">
        <v>0</v>
      </c>
      <c r="AA15" s="80">
        <v>15</v>
      </c>
      <c r="AB15" s="80"/>
      <c r="AC15" s="81"/>
      <c r="AD15" s="87" t="str">
        <f>REPLACE(INDEX(GroupVertices[Group],MATCH("~"&amp;Vertices[[#This Row],[Vertex]],GroupVertices[Vertex],0)),1,1,"")</f>
        <v>8</v>
      </c>
      <c r="AF15" s="2"/>
    </row>
    <row r="16" spans="1:32" ht="15">
      <c r="A16" t="s">
        <v>321</v>
      </c>
      <c r="B16" s="11"/>
      <c r="C16" s="11"/>
      <c r="D16" s="74">
        <v>100</v>
      </c>
      <c r="E16" s="75"/>
      <c r="F16" s="11"/>
      <c r="G16" s="11"/>
      <c r="H16" s="12" t="s">
        <v>321</v>
      </c>
      <c r="I16" s="61"/>
      <c r="J16" s="61"/>
      <c r="K16" s="12"/>
      <c r="L16" s="76">
        <v>1</v>
      </c>
      <c r="M16" s="77">
        <v>6846.44921875</v>
      </c>
      <c r="N16" s="77">
        <v>5543.5634765625</v>
      </c>
      <c r="O16" s="72" t="s">
        <v>67</v>
      </c>
      <c r="P16" s="78"/>
      <c r="Q16" s="78"/>
      <c r="R16" s="79"/>
      <c r="S16" s="45">
        <v>1</v>
      </c>
      <c r="T16" s="45">
        <v>0</v>
      </c>
      <c r="U16" s="46">
        <v>0</v>
      </c>
      <c r="V16" s="46">
        <v>0.041667</v>
      </c>
      <c r="W16" s="46">
        <v>0</v>
      </c>
      <c r="X16" s="46">
        <v>0.04</v>
      </c>
      <c r="Y16" s="46">
        <v>0</v>
      </c>
      <c r="Z16" s="46">
        <v>0</v>
      </c>
      <c r="AA16" s="80">
        <v>16</v>
      </c>
      <c r="AB16" s="80"/>
      <c r="AC16" s="81"/>
      <c r="AD16" s="87" t="str">
        <f>REPLACE(INDEX(GroupVertices[Group],MATCH("~"&amp;Vertices[[#This Row],[Vertex]],GroupVertices[Vertex],0)),1,1,"")</f>
        <v>8</v>
      </c>
      <c r="AF16" s="2"/>
    </row>
    <row r="17" spans="1:32" ht="15">
      <c r="A17" t="s">
        <v>322</v>
      </c>
      <c r="B17" s="11"/>
      <c r="C17" s="11"/>
      <c r="D17" s="74">
        <v>100</v>
      </c>
      <c r="E17" s="75"/>
      <c r="F17" s="11"/>
      <c r="G17" s="11"/>
      <c r="H17" s="12" t="s">
        <v>322</v>
      </c>
      <c r="I17" s="61"/>
      <c r="J17" s="61"/>
      <c r="K17" s="12"/>
      <c r="L17" s="76">
        <v>1</v>
      </c>
      <c r="M17" s="77">
        <v>9372.7353515625</v>
      </c>
      <c r="N17" s="77">
        <v>9282.16015625</v>
      </c>
      <c r="O17" s="72" t="s">
        <v>67</v>
      </c>
      <c r="P17" s="78"/>
      <c r="Q17" s="78"/>
      <c r="R17" s="79"/>
      <c r="S17" s="45">
        <v>0</v>
      </c>
      <c r="T17" s="45">
        <v>1</v>
      </c>
      <c r="U17" s="46">
        <v>0</v>
      </c>
      <c r="V17" s="46">
        <v>0.041667</v>
      </c>
      <c r="W17" s="46">
        <v>0</v>
      </c>
      <c r="X17" s="46">
        <v>0.04</v>
      </c>
      <c r="Y17" s="46">
        <v>0</v>
      </c>
      <c r="Z17" s="46">
        <v>0</v>
      </c>
      <c r="AA17" s="80">
        <v>17</v>
      </c>
      <c r="AB17" s="80"/>
      <c r="AC17" s="81"/>
      <c r="AD17" s="87" t="str">
        <f>REPLACE(INDEX(GroupVertices[Group],MATCH("~"&amp;Vertices[[#This Row],[Vertex]],GroupVertices[Vertex],0)),1,1,"")</f>
        <v>7</v>
      </c>
      <c r="AF17" s="2"/>
    </row>
    <row r="18" spans="1:32" ht="15">
      <c r="A18" t="s">
        <v>323</v>
      </c>
      <c r="B18" s="11"/>
      <c r="C18" s="11"/>
      <c r="D18" s="74">
        <v>100</v>
      </c>
      <c r="E18" s="75"/>
      <c r="F18" s="11"/>
      <c r="G18" s="11"/>
      <c r="H18" s="12" t="s">
        <v>323</v>
      </c>
      <c r="I18" s="61"/>
      <c r="J18" s="61"/>
      <c r="K18" s="12"/>
      <c r="L18" s="76">
        <v>1</v>
      </c>
      <c r="M18" s="77">
        <v>8462.529296875</v>
      </c>
      <c r="N18" s="77">
        <v>6969.89111328125</v>
      </c>
      <c r="O18" s="72" t="s">
        <v>67</v>
      </c>
      <c r="P18" s="78"/>
      <c r="Q18" s="78"/>
      <c r="R18" s="79"/>
      <c r="S18" s="45">
        <v>1</v>
      </c>
      <c r="T18" s="45">
        <v>0</v>
      </c>
      <c r="U18" s="46">
        <v>0</v>
      </c>
      <c r="V18" s="46">
        <v>0.041667</v>
      </c>
      <c r="W18" s="46">
        <v>0</v>
      </c>
      <c r="X18" s="46">
        <v>0.04</v>
      </c>
      <c r="Y18" s="46">
        <v>0</v>
      </c>
      <c r="Z18" s="46">
        <v>0</v>
      </c>
      <c r="AA18" s="80">
        <v>18</v>
      </c>
      <c r="AB18" s="80"/>
      <c r="AC18" s="81"/>
      <c r="AD18" s="87" t="str">
        <f>REPLACE(INDEX(GroupVertices[Group],MATCH("~"&amp;Vertices[[#This Row],[Vertex]],GroupVertices[Vertex],0)),1,1,"")</f>
        <v>7</v>
      </c>
      <c r="AF18" s="2"/>
    </row>
    <row r="19" spans="1:32" ht="15">
      <c r="A19" t="s">
        <v>324</v>
      </c>
      <c r="B19" s="11"/>
      <c r="C19" s="11"/>
      <c r="D19" s="74">
        <v>100</v>
      </c>
      <c r="E19" s="75"/>
      <c r="F19" s="11"/>
      <c r="G19" s="11"/>
      <c r="H19" s="12" t="s">
        <v>324</v>
      </c>
      <c r="I19" s="61"/>
      <c r="J19" s="61"/>
      <c r="K19" s="12"/>
      <c r="L19" s="76">
        <v>1</v>
      </c>
      <c r="M19" s="77">
        <v>1387.865478515625</v>
      </c>
      <c r="N19" s="77">
        <v>676.4029541015625</v>
      </c>
      <c r="O19" s="72" t="s">
        <v>67</v>
      </c>
      <c r="P19" s="78"/>
      <c r="Q19" s="78"/>
      <c r="R19" s="79"/>
      <c r="S19" s="45">
        <v>0</v>
      </c>
      <c r="T19" s="45">
        <v>1</v>
      </c>
      <c r="U19" s="46">
        <v>0</v>
      </c>
      <c r="V19" s="46">
        <v>0.148485</v>
      </c>
      <c r="W19" s="46">
        <v>0.016341</v>
      </c>
      <c r="X19" s="46">
        <v>0.037089</v>
      </c>
      <c r="Y19" s="46">
        <v>0</v>
      </c>
      <c r="Z19" s="46">
        <v>0</v>
      </c>
      <c r="AA19" s="80">
        <v>19</v>
      </c>
      <c r="AB19" s="80"/>
      <c r="AC19" s="81"/>
      <c r="AD19" s="87" t="str">
        <f>REPLACE(INDEX(GroupVertices[Group],MATCH("~"&amp;Vertices[[#This Row],[Vertex]],GroupVertices[Vertex],0)),1,1,"")</f>
        <v>2</v>
      </c>
      <c r="AF19" s="2"/>
    </row>
    <row r="20" spans="1:32" ht="15">
      <c r="A20" t="s">
        <v>325</v>
      </c>
      <c r="B20" s="11" t="s">
        <v>409</v>
      </c>
      <c r="C20" s="11"/>
      <c r="D20" s="74">
        <v>1000</v>
      </c>
      <c r="E20" s="75"/>
      <c r="F20" s="11"/>
      <c r="G20" s="11"/>
      <c r="H20" s="12" t="s">
        <v>325</v>
      </c>
      <c r="I20" s="61"/>
      <c r="J20" s="61"/>
      <c r="K20" s="12"/>
      <c r="L20" s="76">
        <v>3805.1170917274007</v>
      </c>
      <c r="M20" s="77">
        <v>2725.594970703125</v>
      </c>
      <c r="N20" s="77">
        <v>1180.2264404296875</v>
      </c>
      <c r="O20" s="72" t="s">
        <v>67</v>
      </c>
      <c r="P20" s="78"/>
      <c r="Q20" s="78"/>
      <c r="R20" s="79"/>
      <c r="S20" s="45">
        <v>2</v>
      </c>
      <c r="T20" s="45">
        <v>0</v>
      </c>
      <c r="U20" s="46">
        <v>26</v>
      </c>
      <c r="V20" s="46">
        <v>0.194444</v>
      </c>
      <c r="W20" s="46">
        <v>0.06453</v>
      </c>
      <c r="X20" s="46">
        <v>0.041177</v>
      </c>
      <c r="Y20" s="46">
        <v>0</v>
      </c>
      <c r="Z20" s="46">
        <v>0</v>
      </c>
      <c r="AA20" s="80">
        <v>20</v>
      </c>
      <c r="AB20" s="80"/>
      <c r="AC20" s="81"/>
      <c r="AD20" s="87" t="str">
        <f>REPLACE(INDEX(GroupVertices[Group],MATCH("~"&amp;Vertices[[#This Row],[Vertex]],GroupVertices[Vertex],0)),1,1,"")</f>
        <v>2</v>
      </c>
      <c r="AF20" s="2"/>
    </row>
    <row r="21" spans="1:32" ht="15">
      <c r="A21" t="s">
        <v>326</v>
      </c>
      <c r="B21" s="11"/>
      <c r="C21" s="11"/>
      <c r="D21" s="74">
        <v>100</v>
      </c>
      <c r="E21" s="75"/>
      <c r="F21" s="11"/>
      <c r="G21" s="11"/>
      <c r="H21" s="12" t="s">
        <v>326</v>
      </c>
      <c r="I21" s="61"/>
      <c r="J21" s="61"/>
      <c r="K21" s="12"/>
      <c r="L21" s="76">
        <v>1</v>
      </c>
      <c r="M21" s="77">
        <v>5848.671875</v>
      </c>
      <c r="N21" s="77">
        <v>588.1764526367188</v>
      </c>
      <c r="O21" s="72" t="s">
        <v>67</v>
      </c>
      <c r="P21" s="78"/>
      <c r="Q21" s="78"/>
      <c r="R21" s="79"/>
      <c r="S21" s="45">
        <v>0</v>
      </c>
      <c r="T21" s="45">
        <v>1</v>
      </c>
      <c r="U21" s="46">
        <v>0</v>
      </c>
      <c r="V21" s="46">
        <v>0.041667</v>
      </c>
      <c r="W21" s="46">
        <v>0</v>
      </c>
      <c r="X21" s="46">
        <v>0.04</v>
      </c>
      <c r="Y21" s="46">
        <v>0</v>
      </c>
      <c r="Z21" s="46">
        <v>0</v>
      </c>
      <c r="AA21" s="80">
        <v>21</v>
      </c>
      <c r="AB21" s="80"/>
      <c r="AC21" s="81"/>
      <c r="AD21" s="87" t="str">
        <f>REPLACE(INDEX(GroupVertices[Group],MATCH("~"&amp;Vertices[[#This Row],[Vertex]],GroupVertices[Vertex],0)),1,1,"")</f>
        <v>6</v>
      </c>
      <c r="AF21" s="2"/>
    </row>
    <row r="22" spans="1:32" ht="15">
      <c r="A22" t="s">
        <v>327</v>
      </c>
      <c r="B22" s="11"/>
      <c r="C22" s="11"/>
      <c r="D22" s="74">
        <v>100</v>
      </c>
      <c r="E22" s="75"/>
      <c r="F22" s="11"/>
      <c r="G22" s="11"/>
      <c r="H22" s="12" t="s">
        <v>327</v>
      </c>
      <c r="I22" s="61"/>
      <c r="J22" s="61"/>
      <c r="K22" s="12"/>
      <c r="L22" s="76">
        <v>1</v>
      </c>
      <c r="M22" s="77">
        <v>6857.0634765625</v>
      </c>
      <c r="N22" s="77">
        <v>2407.847412109375</v>
      </c>
      <c r="O22" s="72" t="s">
        <v>67</v>
      </c>
      <c r="P22" s="78"/>
      <c r="Q22" s="78"/>
      <c r="R22" s="79"/>
      <c r="S22" s="45">
        <v>1</v>
      </c>
      <c r="T22" s="45">
        <v>0</v>
      </c>
      <c r="U22" s="46">
        <v>0</v>
      </c>
      <c r="V22" s="46">
        <v>0.041667</v>
      </c>
      <c r="W22" s="46">
        <v>0</v>
      </c>
      <c r="X22" s="46">
        <v>0.04</v>
      </c>
      <c r="Y22" s="46">
        <v>0</v>
      </c>
      <c r="Z22" s="46">
        <v>0</v>
      </c>
      <c r="AA22" s="80">
        <v>22</v>
      </c>
      <c r="AB22" s="80"/>
      <c r="AC22" s="81"/>
      <c r="AD22" s="87" t="str">
        <f>REPLACE(INDEX(GroupVertices[Group],MATCH("~"&amp;Vertices[[#This Row],[Vertex]],GroupVertices[Vertex],0)),1,1,"")</f>
        <v>6</v>
      </c>
      <c r="AF22" s="2"/>
    </row>
    <row r="23" spans="1:32" ht="15">
      <c r="A23" t="s">
        <v>328</v>
      </c>
      <c r="B23" s="11"/>
      <c r="C23" s="11"/>
      <c r="D23" s="74">
        <v>100</v>
      </c>
      <c r="E23" s="75"/>
      <c r="F23" s="11"/>
      <c r="G23" s="11"/>
      <c r="H23" s="12" t="s">
        <v>328</v>
      </c>
      <c r="I23" s="61"/>
      <c r="J23" s="61"/>
      <c r="K23" s="12"/>
      <c r="L23" s="76">
        <v>1</v>
      </c>
      <c r="M23" s="77">
        <v>8120.20703125</v>
      </c>
      <c r="N23" s="77">
        <v>1044.01318359375</v>
      </c>
      <c r="O23" s="72" t="s">
        <v>67</v>
      </c>
      <c r="P23" s="78"/>
      <c r="Q23" s="78"/>
      <c r="R23" s="79"/>
      <c r="S23" s="45">
        <v>0</v>
      </c>
      <c r="T23" s="45">
        <v>1</v>
      </c>
      <c r="U23" s="46">
        <v>0</v>
      </c>
      <c r="V23" s="46">
        <v>0.041667</v>
      </c>
      <c r="W23" s="46">
        <v>0</v>
      </c>
      <c r="X23" s="46">
        <v>0.04</v>
      </c>
      <c r="Y23" s="46">
        <v>0</v>
      </c>
      <c r="Z23" s="46">
        <v>0</v>
      </c>
      <c r="AA23" s="80">
        <v>23</v>
      </c>
      <c r="AB23" s="80"/>
      <c r="AC23" s="81"/>
      <c r="AD23" s="87" t="str">
        <f>REPLACE(INDEX(GroupVertices[Group],MATCH("~"&amp;Vertices[[#This Row],[Vertex]],GroupVertices[Vertex],0)),1,1,"")</f>
        <v>5</v>
      </c>
      <c r="AF23" s="2"/>
    </row>
    <row r="24" spans="1:32" ht="15">
      <c r="A24" t="s">
        <v>329</v>
      </c>
      <c r="B24" s="11"/>
      <c r="C24" s="11"/>
      <c r="D24" s="74">
        <v>100</v>
      </c>
      <c r="E24" s="75"/>
      <c r="F24" s="11"/>
      <c r="G24" s="11"/>
      <c r="H24" s="12" t="s">
        <v>329</v>
      </c>
      <c r="I24" s="61"/>
      <c r="J24" s="61"/>
      <c r="K24" s="12"/>
      <c r="L24" s="76">
        <v>1</v>
      </c>
      <c r="M24" s="77">
        <v>9046.3359375</v>
      </c>
      <c r="N24" s="77">
        <v>2363.734130859375</v>
      </c>
      <c r="O24" s="72" t="s">
        <v>67</v>
      </c>
      <c r="P24" s="78"/>
      <c r="Q24" s="78"/>
      <c r="R24" s="79"/>
      <c r="S24" s="45">
        <v>1</v>
      </c>
      <c r="T24" s="45">
        <v>0</v>
      </c>
      <c r="U24" s="46">
        <v>0</v>
      </c>
      <c r="V24" s="46">
        <v>0.041667</v>
      </c>
      <c r="W24" s="46">
        <v>0</v>
      </c>
      <c r="X24" s="46">
        <v>0.04</v>
      </c>
      <c r="Y24" s="46">
        <v>0</v>
      </c>
      <c r="Z24" s="46">
        <v>0</v>
      </c>
      <c r="AA24" s="80">
        <v>24</v>
      </c>
      <c r="AB24" s="80"/>
      <c r="AC24" s="81"/>
      <c r="AD24" s="87" t="str">
        <f>REPLACE(INDEX(GroupVertices[Group],MATCH("~"&amp;Vertices[[#This Row],[Vertex]],GroupVertices[Vertex],0)),1,1,"")</f>
        <v>5</v>
      </c>
      <c r="AF24" s="2"/>
    </row>
    <row r="25" spans="1:32" ht="15">
      <c r="A25" t="s">
        <v>330</v>
      </c>
      <c r="B25" s="11"/>
      <c r="C25" s="11"/>
      <c r="D25" s="74">
        <v>100</v>
      </c>
      <c r="E25" s="75"/>
      <c r="F25" s="11"/>
      <c r="G25" s="11"/>
      <c r="H25" s="12" t="s">
        <v>330</v>
      </c>
      <c r="I25" s="61"/>
      <c r="J25" s="61"/>
      <c r="K25" s="12"/>
      <c r="L25" s="76">
        <v>1</v>
      </c>
      <c r="M25" s="77">
        <v>8122.86083984375</v>
      </c>
      <c r="N25" s="77">
        <v>3984.8955078125</v>
      </c>
      <c r="O25" s="72" t="s">
        <v>67</v>
      </c>
      <c r="P25" s="78"/>
      <c r="Q25" s="78"/>
      <c r="R25" s="79"/>
      <c r="S25" s="45">
        <v>0</v>
      </c>
      <c r="T25" s="45">
        <v>1</v>
      </c>
      <c r="U25" s="46">
        <v>0</v>
      </c>
      <c r="V25" s="46">
        <v>0.041667</v>
      </c>
      <c r="W25" s="46">
        <v>0</v>
      </c>
      <c r="X25" s="46">
        <v>0.04</v>
      </c>
      <c r="Y25" s="46">
        <v>0</v>
      </c>
      <c r="Z25" s="46">
        <v>0</v>
      </c>
      <c r="AA25" s="80">
        <v>25</v>
      </c>
      <c r="AB25" s="80"/>
      <c r="AC25" s="81"/>
      <c r="AD25" s="87" t="str">
        <f>REPLACE(INDEX(GroupVertices[Group],MATCH("~"&amp;Vertices[[#This Row],[Vertex]],GroupVertices[Vertex],0)),1,1,"")</f>
        <v>4</v>
      </c>
      <c r="AF25" s="2"/>
    </row>
    <row r="26" spans="1:32" ht="15">
      <c r="A26" t="s">
        <v>331</v>
      </c>
      <c r="B26" s="11"/>
      <c r="C26" s="11"/>
      <c r="D26" s="74">
        <v>100</v>
      </c>
      <c r="E26" s="75"/>
      <c r="F26" s="11"/>
      <c r="G26" s="11"/>
      <c r="H26" s="12" t="s">
        <v>331</v>
      </c>
      <c r="I26" s="61"/>
      <c r="J26" s="61"/>
      <c r="K26" s="12"/>
      <c r="L26" s="76">
        <v>1</v>
      </c>
      <c r="M26" s="77">
        <v>8916.3056640625</v>
      </c>
      <c r="N26" s="77">
        <v>5205.36181640625</v>
      </c>
      <c r="O26" s="72" t="s">
        <v>67</v>
      </c>
      <c r="P26" s="78"/>
      <c r="Q26" s="78"/>
      <c r="R26" s="79"/>
      <c r="S26" s="45">
        <v>1</v>
      </c>
      <c r="T26" s="45">
        <v>0</v>
      </c>
      <c r="U26" s="46">
        <v>0</v>
      </c>
      <c r="V26" s="46">
        <v>0.041667</v>
      </c>
      <c r="W26" s="46">
        <v>0</v>
      </c>
      <c r="X26" s="46">
        <v>0.04</v>
      </c>
      <c r="Y26" s="46">
        <v>0</v>
      </c>
      <c r="Z26" s="46">
        <v>0</v>
      </c>
      <c r="AA26" s="80">
        <v>26</v>
      </c>
      <c r="AB26" s="80"/>
      <c r="AC26" s="81"/>
      <c r="AD26" s="87" t="str">
        <f>REPLACE(INDEX(GroupVertices[Group],MATCH("~"&amp;Vertices[[#This Row],[Vertex]],GroupVertices[Vertex],0)),1,1,"")</f>
        <v>4</v>
      </c>
      <c r="AF26" s="2"/>
    </row>
    <row r="27" spans="1:32" ht="15">
      <c r="A27" t="s">
        <v>332</v>
      </c>
      <c r="B27" s="11"/>
      <c r="C27" s="11"/>
      <c r="D27" s="74">
        <v>100</v>
      </c>
      <c r="E27" s="75"/>
      <c r="F27" s="11"/>
      <c r="G27" s="11"/>
      <c r="H27" s="12" t="s">
        <v>332</v>
      </c>
      <c r="I27" s="61"/>
      <c r="J27" s="61"/>
      <c r="K27" s="12"/>
      <c r="L27" s="76">
        <v>1</v>
      </c>
      <c r="M27" s="77">
        <v>3447.107421875</v>
      </c>
      <c r="N27" s="77">
        <v>6705.4609375</v>
      </c>
      <c r="O27" s="72" t="s">
        <v>67</v>
      </c>
      <c r="P27" s="78"/>
      <c r="Q27" s="78"/>
      <c r="R27" s="79"/>
      <c r="S27" s="45">
        <v>0</v>
      </c>
      <c r="T27" s="45">
        <v>1</v>
      </c>
      <c r="U27" s="46">
        <v>0</v>
      </c>
      <c r="V27" s="46">
        <v>0.214912</v>
      </c>
      <c r="W27" s="46">
        <v>0.107083</v>
      </c>
      <c r="X27" s="46">
        <v>0.035223</v>
      </c>
      <c r="Y27" s="46">
        <v>0</v>
      </c>
      <c r="Z27" s="46">
        <v>0</v>
      </c>
      <c r="AA27" s="80">
        <v>27</v>
      </c>
      <c r="AB27" s="80"/>
      <c r="AC27" s="81"/>
      <c r="AD27" s="87" t="str">
        <f>REPLACE(INDEX(GroupVertices[Group],MATCH("~"&amp;Vertices[[#This Row],[Vertex]],GroupVertices[Vertex],0)),1,1,"")</f>
        <v>1</v>
      </c>
      <c r="AF2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50</v>
      </c>
    </row>
    <row r="2" ht="15" customHeight="1"/>
    <row r="3" ht="15" customHeight="1">
      <c r="A3" s="28" t="s">
        <v>51</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3" t="s">
        <v>40</v>
      </c>
      <c r="C1" s="64"/>
      <c r="D1" s="64"/>
      <c r="E1" s="65"/>
      <c r="F1" s="61" t="s">
        <v>44</v>
      </c>
      <c r="G1" s="66" t="s">
        <v>45</v>
      </c>
      <c r="H1" s="67"/>
      <c r="I1" s="68" t="s">
        <v>41</v>
      </c>
      <c r="J1" s="69"/>
      <c r="K1" s="70" t="s">
        <v>43</v>
      </c>
      <c r="L1" s="71"/>
      <c r="M1" s="71"/>
      <c r="N1" s="71"/>
      <c r="O1" s="71"/>
      <c r="P1" s="71"/>
      <c r="Q1" s="71"/>
      <c r="R1" s="71"/>
      <c r="S1" s="71"/>
      <c r="T1" s="71"/>
      <c r="U1" s="71"/>
      <c r="V1" s="71"/>
      <c r="W1" s="71"/>
      <c r="X1" s="71"/>
    </row>
    <row r="2" spans="1:24" s="7" customFormat="1" ht="30" customHeight="1">
      <c r="A2" s="10" t="s">
        <v>145</v>
      </c>
      <c r="B2" s="7" t="s">
        <v>21</v>
      </c>
      <c r="C2" s="7" t="s">
        <v>20</v>
      </c>
      <c r="D2" s="7" t="s">
        <v>11</v>
      </c>
      <c r="E2" s="7" t="s">
        <v>146</v>
      </c>
      <c r="F2" s="7" t="s">
        <v>47</v>
      </c>
      <c r="G2" s="7" t="s">
        <v>168</v>
      </c>
      <c r="H2" s="7" t="s">
        <v>169</v>
      </c>
      <c r="I2" s="7" t="s">
        <v>12</v>
      </c>
      <c r="J2" s="7" t="s">
        <v>167</v>
      </c>
      <c r="K2" s="7" t="s">
        <v>147</v>
      </c>
      <c r="L2" s="7" t="s">
        <v>149</v>
      </c>
      <c r="M2" s="7" t="s">
        <v>150</v>
      </c>
      <c r="N2" s="7" t="s">
        <v>151</v>
      </c>
      <c r="O2" s="7" t="s">
        <v>152</v>
      </c>
      <c r="P2" s="7" t="s">
        <v>171</v>
      </c>
      <c r="Q2" s="7" t="s">
        <v>172</v>
      </c>
      <c r="R2" s="7" t="s">
        <v>153</v>
      </c>
      <c r="S2" s="7" t="s">
        <v>154</v>
      </c>
      <c r="T2" s="7" t="s">
        <v>155</v>
      </c>
      <c r="U2" s="7" t="s">
        <v>156</v>
      </c>
      <c r="V2" s="7" t="s">
        <v>157</v>
      </c>
      <c r="W2" s="7" t="s">
        <v>158</v>
      </c>
      <c r="X2" s="7" t="s">
        <v>159</v>
      </c>
    </row>
    <row r="3" spans="1:24" ht="15">
      <c r="A3" s="84" t="s">
        <v>348</v>
      </c>
      <c r="B3" s="88" t="s">
        <v>356</v>
      </c>
      <c r="C3" s="88" t="s">
        <v>57</v>
      </c>
      <c r="D3" s="85"/>
      <c r="E3" s="11"/>
      <c r="F3" s="12"/>
      <c r="G3" s="72"/>
      <c r="H3" s="72"/>
      <c r="I3" s="86">
        <v>3</v>
      </c>
      <c r="J3" s="58"/>
      <c r="K3" s="45">
        <v>7</v>
      </c>
      <c r="L3" s="45">
        <v>9</v>
      </c>
      <c r="M3" s="45">
        <v>0</v>
      </c>
      <c r="N3" s="45">
        <v>9</v>
      </c>
      <c r="O3" s="45">
        <v>0</v>
      </c>
      <c r="P3" s="46">
        <v>0</v>
      </c>
      <c r="Q3" s="46">
        <v>0</v>
      </c>
      <c r="R3" s="45">
        <v>1</v>
      </c>
      <c r="S3" s="45">
        <v>0</v>
      </c>
      <c r="T3" s="45">
        <v>7</v>
      </c>
      <c r="U3" s="45">
        <v>9</v>
      </c>
      <c r="V3" s="45">
        <v>3</v>
      </c>
      <c r="W3" s="46">
        <v>1.469388</v>
      </c>
      <c r="X3" s="46">
        <v>0.21428571428571427</v>
      </c>
    </row>
    <row r="4" spans="1:24" ht="15">
      <c r="A4" s="84" t="s">
        <v>349</v>
      </c>
      <c r="B4" s="88" t="s">
        <v>357</v>
      </c>
      <c r="C4" s="88" t="s">
        <v>57</v>
      </c>
      <c r="D4" s="85"/>
      <c r="E4" s="11"/>
      <c r="F4" s="12"/>
      <c r="G4" s="72"/>
      <c r="H4" s="72"/>
      <c r="I4" s="86">
        <v>4</v>
      </c>
      <c r="J4" s="80"/>
      <c r="K4" s="45">
        <v>5</v>
      </c>
      <c r="L4" s="45">
        <v>5</v>
      </c>
      <c r="M4" s="45">
        <v>0</v>
      </c>
      <c r="N4" s="45">
        <v>5</v>
      </c>
      <c r="O4" s="45">
        <v>0</v>
      </c>
      <c r="P4" s="46">
        <v>0</v>
      </c>
      <c r="Q4" s="46">
        <v>0</v>
      </c>
      <c r="R4" s="45">
        <v>1</v>
      </c>
      <c r="S4" s="45">
        <v>0</v>
      </c>
      <c r="T4" s="45">
        <v>5</v>
      </c>
      <c r="U4" s="45">
        <v>5</v>
      </c>
      <c r="V4" s="45">
        <v>3</v>
      </c>
      <c r="W4" s="46">
        <v>1.36</v>
      </c>
      <c r="X4" s="46">
        <v>0.25</v>
      </c>
    </row>
    <row r="5" spans="1:24" ht="15">
      <c r="A5" s="84" t="s">
        <v>350</v>
      </c>
      <c r="B5" s="88" t="s">
        <v>358</v>
      </c>
      <c r="C5" s="88" t="s">
        <v>57</v>
      </c>
      <c r="D5" s="85"/>
      <c r="E5" s="11"/>
      <c r="F5" s="12"/>
      <c r="G5" s="72"/>
      <c r="H5" s="72"/>
      <c r="I5" s="86">
        <v>5</v>
      </c>
      <c r="J5" s="80"/>
      <c r="K5" s="45">
        <v>3</v>
      </c>
      <c r="L5" s="45">
        <v>2</v>
      </c>
      <c r="M5" s="45">
        <v>0</v>
      </c>
      <c r="N5" s="45">
        <v>2</v>
      </c>
      <c r="O5" s="45">
        <v>0</v>
      </c>
      <c r="P5" s="46">
        <v>0</v>
      </c>
      <c r="Q5" s="46">
        <v>0</v>
      </c>
      <c r="R5" s="45">
        <v>1</v>
      </c>
      <c r="S5" s="45">
        <v>0</v>
      </c>
      <c r="T5" s="45">
        <v>3</v>
      </c>
      <c r="U5" s="45">
        <v>2</v>
      </c>
      <c r="V5" s="45">
        <v>2</v>
      </c>
      <c r="W5" s="46">
        <v>0.888889</v>
      </c>
      <c r="X5" s="46">
        <v>0.3333333333333333</v>
      </c>
    </row>
    <row r="6" spans="1:24" ht="15">
      <c r="A6" s="84" t="s">
        <v>351</v>
      </c>
      <c r="B6" s="88" t="s">
        <v>359</v>
      </c>
      <c r="C6" s="88" t="s">
        <v>57</v>
      </c>
      <c r="D6" s="85"/>
      <c r="E6" s="11"/>
      <c r="F6" s="12"/>
      <c r="G6" s="72"/>
      <c r="H6" s="72"/>
      <c r="I6" s="86">
        <v>6</v>
      </c>
      <c r="J6" s="80"/>
      <c r="K6" s="45">
        <v>2</v>
      </c>
      <c r="L6" s="45">
        <v>1</v>
      </c>
      <c r="M6" s="45">
        <v>0</v>
      </c>
      <c r="N6" s="45">
        <v>1</v>
      </c>
      <c r="O6" s="45">
        <v>0</v>
      </c>
      <c r="P6" s="46">
        <v>0</v>
      </c>
      <c r="Q6" s="46">
        <v>0</v>
      </c>
      <c r="R6" s="45">
        <v>1</v>
      </c>
      <c r="S6" s="45">
        <v>0</v>
      </c>
      <c r="T6" s="45">
        <v>2</v>
      </c>
      <c r="U6" s="45">
        <v>1</v>
      </c>
      <c r="V6" s="45">
        <v>1</v>
      </c>
      <c r="W6" s="46">
        <v>0.5</v>
      </c>
      <c r="X6" s="46">
        <v>0.5</v>
      </c>
    </row>
    <row r="7" spans="1:24" ht="15">
      <c r="A7" s="84" t="s">
        <v>352</v>
      </c>
      <c r="B7" s="88" t="s">
        <v>360</v>
      </c>
      <c r="C7" s="88" t="s">
        <v>57</v>
      </c>
      <c r="D7" s="85"/>
      <c r="E7" s="11"/>
      <c r="F7" s="12"/>
      <c r="G7" s="72"/>
      <c r="H7" s="72"/>
      <c r="I7" s="86">
        <v>7</v>
      </c>
      <c r="J7" s="80"/>
      <c r="K7" s="45">
        <v>2</v>
      </c>
      <c r="L7" s="45">
        <v>1</v>
      </c>
      <c r="M7" s="45">
        <v>0</v>
      </c>
      <c r="N7" s="45">
        <v>1</v>
      </c>
      <c r="O7" s="45">
        <v>0</v>
      </c>
      <c r="P7" s="46">
        <v>0</v>
      </c>
      <c r="Q7" s="46">
        <v>0</v>
      </c>
      <c r="R7" s="45">
        <v>1</v>
      </c>
      <c r="S7" s="45">
        <v>0</v>
      </c>
      <c r="T7" s="45">
        <v>2</v>
      </c>
      <c r="U7" s="45">
        <v>1</v>
      </c>
      <c r="V7" s="45">
        <v>1</v>
      </c>
      <c r="W7" s="46">
        <v>0.5</v>
      </c>
      <c r="X7" s="46">
        <v>0.5</v>
      </c>
    </row>
    <row r="8" spans="1:24" ht="15">
      <c r="A8" s="84" t="s">
        <v>353</v>
      </c>
      <c r="B8" s="88" t="s">
        <v>361</v>
      </c>
      <c r="C8" s="88" t="s">
        <v>57</v>
      </c>
      <c r="D8" s="85"/>
      <c r="E8" s="11"/>
      <c r="F8" s="12"/>
      <c r="G8" s="72"/>
      <c r="H8" s="72"/>
      <c r="I8" s="86">
        <v>8</v>
      </c>
      <c r="J8" s="80"/>
      <c r="K8" s="45">
        <v>2</v>
      </c>
      <c r="L8" s="45">
        <v>1</v>
      </c>
      <c r="M8" s="45">
        <v>0</v>
      </c>
      <c r="N8" s="45">
        <v>1</v>
      </c>
      <c r="O8" s="45">
        <v>0</v>
      </c>
      <c r="P8" s="46">
        <v>0</v>
      </c>
      <c r="Q8" s="46">
        <v>0</v>
      </c>
      <c r="R8" s="45">
        <v>1</v>
      </c>
      <c r="S8" s="45">
        <v>0</v>
      </c>
      <c r="T8" s="45">
        <v>2</v>
      </c>
      <c r="U8" s="45">
        <v>1</v>
      </c>
      <c r="V8" s="45">
        <v>1</v>
      </c>
      <c r="W8" s="46">
        <v>0.5</v>
      </c>
      <c r="X8" s="46">
        <v>0.5</v>
      </c>
    </row>
    <row r="9" spans="1:24" ht="15">
      <c r="A9" s="84" t="s">
        <v>354</v>
      </c>
      <c r="B9" s="88" t="s">
        <v>362</v>
      </c>
      <c r="C9" s="88" t="s">
        <v>57</v>
      </c>
      <c r="D9" s="85"/>
      <c r="E9" s="11"/>
      <c r="F9" s="12"/>
      <c r="G9" s="72"/>
      <c r="H9" s="72"/>
      <c r="I9" s="86">
        <v>9</v>
      </c>
      <c r="J9" s="80"/>
      <c r="K9" s="45">
        <v>2</v>
      </c>
      <c r="L9" s="45">
        <v>1</v>
      </c>
      <c r="M9" s="45">
        <v>0</v>
      </c>
      <c r="N9" s="45">
        <v>1</v>
      </c>
      <c r="O9" s="45">
        <v>0</v>
      </c>
      <c r="P9" s="46">
        <v>0</v>
      </c>
      <c r="Q9" s="46">
        <v>0</v>
      </c>
      <c r="R9" s="45">
        <v>1</v>
      </c>
      <c r="S9" s="45">
        <v>0</v>
      </c>
      <c r="T9" s="45">
        <v>2</v>
      </c>
      <c r="U9" s="45">
        <v>1</v>
      </c>
      <c r="V9" s="45">
        <v>1</v>
      </c>
      <c r="W9" s="46">
        <v>0.5</v>
      </c>
      <c r="X9" s="46">
        <v>0.5</v>
      </c>
    </row>
    <row r="10" spans="1:24" ht="14.25" customHeight="1">
      <c r="A10" s="84" t="s">
        <v>355</v>
      </c>
      <c r="B10" s="88" t="s">
        <v>363</v>
      </c>
      <c r="C10" s="88" t="s">
        <v>57</v>
      </c>
      <c r="D10" s="85"/>
      <c r="E10" s="11"/>
      <c r="F10" s="12"/>
      <c r="G10" s="72"/>
      <c r="H10" s="72"/>
      <c r="I10" s="86">
        <v>10</v>
      </c>
      <c r="J10" s="80"/>
      <c r="K10" s="45">
        <v>2</v>
      </c>
      <c r="L10" s="45">
        <v>1</v>
      </c>
      <c r="M10" s="45">
        <v>0</v>
      </c>
      <c r="N10" s="45">
        <v>1</v>
      </c>
      <c r="O10" s="45">
        <v>0</v>
      </c>
      <c r="P10" s="46">
        <v>0</v>
      </c>
      <c r="Q10" s="46">
        <v>0</v>
      </c>
      <c r="R10" s="45">
        <v>1</v>
      </c>
      <c r="S10" s="45">
        <v>0</v>
      </c>
      <c r="T10" s="45">
        <v>2</v>
      </c>
      <c r="U10" s="45">
        <v>1</v>
      </c>
      <c r="V10" s="45">
        <v>1</v>
      </c>
      <c r="W10" s="46">
        <v>0.5</v>
      </c>
      <c r="X10" s="46">
        <v>0.5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145</v>
      </c>
      <c r="B1" s="10" t="s">
        <v>5</v>
      </c>
      <c r="C1" s="10" t="s">
        <v>148</v>
      </c>
    </row>
    <row r="2" spans="1:3" ht="15">
      <c r="A2" s="87" t="s">
        <v>348</v>
      </c>
      <c r="B2" s="90" t="s">
        <v>332</v>
      </c>
      <c r="C2" s="87">
        <f>VLOOKUP("~"&amp;GroupVertices[[#This Row],[Vertex]],Vertices[],MATCH("ID",Vertices[[#Headers],[Vertex]:[Marked?]],0),FALSE)</f>
        <v>27</v>
      </c>
    </row>
    <row r="3" spans="1:3" ht="15">
      <c r="A3" s="89" t="s">
        <v>348</v>
      </c>
      <c r="B3" s="90" t="s">
        <v>310</v>
      </c>
      <c r="C3" s="87">
        <f>VLOOKUP("~"&amp;GroupVertices[[#This Row],[Vertex]],Vertices[],MATCH("ID",Vertices[[#Headers],[Vertex]:[Marked?]],0),FALSE)</f>
        <v>5</v>
      </c>
    </row>
    <row r="4" spans="1:3" ht="15">
      <c r="A4" s="89" t="s">
        <v>348</v>
      </c>
      <c r="B4" s="90" t="s">
        <v>319</v>
      </c>
      <c r="C4" s="87">
        <f>VLOOKUP("~"&amp;GroupVertices[[#This Row],[Vertex]],Vertices[],MATCH("ID",Vertices[[#Headers],[Vertex]:[Marked?]],0),FALSE)</f>
        <v>14</v>
      </c>
    </row>
    <row r="5" spans="1:3" ht="15">
      <c r="A5" s="89" t="s">
        <v>348</v>
      </c>
      <c r="B5" s="90" t="s">
        <v>308</v>
      </c>
      <c r="C5" s="87">
        <f>VLOOKUP("~"&amp;GroupVertices[[#This Row],[Vertex]],Vertices[],MATCH("ID",Vertices[[#Headers],[Vertex]:[Marked?]],0),FALSE)</f>
        <v>3</v>
      </c>
    </row>
    <row r="6" spans="1:3" ht="15">
      <c r="A6" s="89" t="s">
        <v>348</v>
      </c>
      <c r="B6" s="90" t="s">
        <v>318</v>
      </c>
      <c r="C6" s="87">
        <f>VLOOKUP("~"&amp;GroupVertices[[#This Row],[Vertex]],Vertices[],MATCH("ID",Vertices[[#Headers],[Vertex]:[Marked?]],0),FALSE)</f>
        <v>13</v>
      </c>
    </row>
    <row r="7" spans="1:3" ht="15">
      <c r="A7" s="89" t="s">
        <v>348</v>
      </c>
      <c r="B7" s="90" t="s">
        <v>312</v>
      </c>
      <c r="C7" s="87">
        <f>VLOOKUP("~"&amp;GroupVertices[[#This Row],[Vertex]],Vertices[],MATCH("ID",Vertices[[#Headers],[Vertex]:[Marked?]],0),FALSE)</f>
        <v>7</v>
      </c>
    </row>
    <row r="8" spans="1:3" ht="15">
      <c r="A8" s="89" t="s">
        <v>348</v>
      </c>
      <c r="B8" s="90" t="s">
        <v>311</v>
      </c>
      <c r="C8" s="87">
        <f>VLOOKUP("~"&amp;GroupVertices[[#This Row],[Vertex]],Vertices[],MATCH("ID",Vertices[[#Headers],[Vertex]:[Marked?]],0),FALSE)</f>
        <v>6</v>
      </c>
    </row>
    <row r="9" spans="1:3" ht="15">
      <c r="A9" s="89" t="s">
        <v>349</v>
      </c>
      <c r="B9" s="90" t="s">
        <v>313</v>
      </c>
      <c r="C9" s="87">
        <f>VLOOKUP("~"&amp;GroupVertices[[#This Row],[Vertex]],Vertices[],MATCH("ID",Vertices[[#Headers],[Vertex]:[Marked?]],0),FALSE)</f>
        <v>8</v>
      </c>
    </row>
    <row r="10" spans="1:3" ht="15">
      <c r="A10" s="89" t="s">
        <v>349</v>
      </c>
      <c r="B10" s="90" t="s">
        <v>325</v>
      </c>
      <c r="C10" s="87">
        <f>VLOOKUP("~"&amp;GroupVertices[[#This Row],[Vertex]],Vertices[],MATCH("ID",Vertices[[#Headers],[Vertex]:[Marked?]],0),FALSE)</f>
        <v>20</v>
      </c>
    </row>
    <row r="11" spans="1:3" ht="15">
      <c r="A11" s="89" t="s">
        <v>349</v>
      </c>
      <c r="B11" s="90" t="s">
        <v>324</v>
      </c>
      <c r="C11" s="87">
        <f>VLOOKUP("~"&amp;GroupVertices[[#This Row],[Vertex]],Vertices[],MATCH("ID",Vertices[[#Headers],[Vertex]:[Marked?]],0),FALSE)</f>
        <v>19</v>
      </c>
    </row>
    <row r="12" spans="1:3" ht="15">
      <c r="A12" s="89" t="s">
        <v>349</v>
      </c>
      <c r="B12" s="90" t="s">
        <v>317</v>
      </c>
      <c r="C12" s="87">
        <f>VLOOKUP("~"&amp;GroupVertices[[#This Row],[Vertex]],Vertices[],MATCH("ID",Vertices[[#Headers],[Vertex]:[Marked?]],0),FALSE)</f>
        <v>12</v>
      </c>
    </row>
    <row r="13" spans="1:3" ht="15">
      <c r="A13" s="89" t="s">
        <v>349</v>
      </c>
      <c r="B13" s="90" t="s">
        <v>309</v>
      </c>
      <c r="C13" s="87">
        <f>VLOOKUP("~"&amp;GroupVertices[[#This Row],[Vertex]],Vertices[],MATCH("ID",Vertices[[#Headers],[Vertex]:[Marked?]],0),FALSE)</f>
        <v>4</v>
      </c>
    </row>
    <row r="14" spans="1:3" ht="15">
      <c r="A14" s="89" t="s">
        <v>350</v>
      </c>
      <c r="B14" s="90" t="s">
        <v>315</v>
      </c>
      <c r="C14" s="87">
        <f>VLOOKUP("~"&amp;GroupVertices[[#This Row],[Vertex]],Vertices[],MATCH("ID",Vertices[[#Headers],[Vertex]:[Marked?]],0),FALSE)</f>
        <v>10</v>
      </c>
    </row>
    <row r="15" spans="1:3" ht="15">
      <c r="A15" s="89" t="s">
        <v>350</v>
      </c>
      <c r="B15" s="90" t="s">
        <v>316</v>
      </c>
      <c r="C15" s="87">
        <f>VLOOKUP("~"&amp;GroupVertices[[#This Row],[Vertex]],Vertices[],MATCH("ID",Vertices[[#Headers],[Vertex]:[Marked?]],0),FALSE)</f>
        <v>11</v>
      </c>
    </row>
    <row r="16" spans="1:3" ht="15">
      <c r="A16" s="89" t="s">
        <v>350</v>
      </c>
      <c r="B16" s="90" t="s">
        <v>314</v>
      </c>
      <c r="C16" s="87">
        <f>VLOOKUP("~"&amp;GroupVertices[[#This Row],[Vertex]],Vertices[],MATCH("ID",Vertices[[#Headers],[Vertex]:[Marked?]],0),FALSE)</f>
        <v>9</v>
      </c>
    </row>
    <row r="17" spans="1:3" ht="15">
      <c r="A17" s="89" t="s">
        <v>351</v>
      </c>
      <c r="B17" s="90" t="s">
        <v>330</v>
      </c>
      <c r="C17" s="87">
        <f>VLOOKUP("~"&amp;GroupVertices[[#This Row],[Vertex]],Vertices[],MATCH("ID",Vertices[[#Headers],[Vertex]:[Marked?]],0),FALSE)</f>
        <v>25</v>
      </c>
    </row>
    <row r="18" spans="1:3" ht="15">
      <c r="A18" s="89" t="s">
        <v>351</v>
      </c>
      <c r="B18" s="90" t="s">
        <v>331</v>
      </c>
      <c r="C18" s="87">
        <f>VLOOKUP("~"&amp;GroupVertices[[#This Row],[Vertex]],Vertices[],MATCH("ID",Vertices[[#Headers],[Vertex]:[Marked?]],0),FALSE)</f>
        <v>26</v>
      </c>
    </row>
    <row r="19" spans="1:3" ht="15">
      <c r="A19" s="89" t="s">
        <v>352</v>
      </c>
      <c r="B19" s="90" t="s">
        <v>328</v>
      </c>
      <c r="C19" s="87">
        <f>VLOOKUP("~"&amp;GroupVertices[[#This Row],[Vertex]],Vertices[],MATCH("ID",Vertices[[#Headers],[Vertex]:[Marked?]],0),FALSE)</f>
        <v>23</v>
      </c>
    </row>
    <row r="20" spans="1:3" ht="15">
      <c r="A20" s="89" t="s">
        <v>352</v>
      </c>
      <c r="B20" s="90" t="s">
        <v>329</v>
      </c>
      <c r="C20" s="87">
        <f>VLOOKUP("~"&amp;GroupVertices[[#This Row],[Vertex]],Vertices[],MATCH("ID",Vertices[[#Headers],[Vertex]:[Marked?]],0),FALSE)</f>
        <v>24</v>
      </c>
    </row>
    <row r="21" spans="1:3" ht="15">
      <c r="A21" s="89" t="s">
        <v>353</v>
      </c>
      <c r="B21" s="90" t="s">
        <v>326</v>
      </c>
      <c r="C21" s="87">
        <f>VLOOKUP("~"&amp;GroupVertices[[#This Row],[Vertex]],Vertices[],MATCH("ID",Vertices[[#Headers],[Vertex]:[Marked?]],0),FALSE)</f>
        <v>21</v>
      </c>
    </row>
    <row r="22" spans="1:3" ht="15">
      <c r="A22" s="89" t="s">
        <v>353</v>
      </c>
      <c r="B22" s="90" t="s">
        <v>327</v>
      </c>
      <c r="C22" s="87">
        <f>VLOOKUP("~"&amp;GroupVertices[[#This Row],[Vertex]],Vertices[],MATCH("ID",Vertices[[#Headers],[Vertex]:[Marked?]],0),FALSE)</f>
        <v>22</v>
      </c>
    </row>
    <row r="23" spans="1:3" ht="15">
      <c r="A23" s="89" t="s">
        <v>354</v>
      </c>
      <c r="B23" s="90" t="s">
        <v>322</v>
      </c>
      <c r="C23" s="87">
        <f>VLOOKUP("~"&amp;GroupVertices[[#This Row],[Vertex]],Vertices[],MATCH("ID",Vertices[[#Headers],[Vertex]:[Marked?]],0),FALSE)</f>
        <v>17</v>
      </c>
    </row>
    <row r="24" spans="1:3" ht="15">
      <c r="A24" s="89" t="s">
        <v>354</v>
      </c>
      <c r="B24" s="90" t="s">
        <v>323</v>
      </c>
      <c r="C24" s="87">
        <f>VLOOKUP("~"&amp;GroupVertices[[#This Row],[Vertex]],Vertices[],MATCH("ID",Vertices[[#Headers],[Vertex]:[Marked?]],0),FALSE)</f>
        <v>18</v>
      </c>
    </row>
    <row r="25" spans="1:3" ht="15">
      <c r="A25" s="89" t="s">
        <v>355</v>
      </c>
      <c r="B25" s="90" t="s">
        <v>320</v>
      </c>
      <c r="C25" s="87">
        <f>VLOOKUP("~"&amp;GroupVertices[[#This Row],[Vertex]],Vertices[],MATCH("ID",Vertices[[#Headers],[Vertex]:[Marked?]],0),FALSE)</f>
        <v>15</v>
      </c>
    </row>
    <row r="26" spans="1:3" ht="15">
      <c r="A26" s="89" t="s">
        <v>355</v>
      </c>
      <c r="B26" s="90" t="s">
        <v>321</v>
      </c>
      <c r="C26" s="87">
        <f>VLOOKUP("~"&amp;GroupVertices[[#This Row],[Vertex]],Vertices[],MATCH("ID",Vertices[[#Headers],[Vertex]:[Marked?]],0),FALSE)</f>
        <v>16</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163</v>
      </c>
      <c r="B1" s="7" t="s">
        <v>17</v>
      </c>
      <c r="D1" t="s">
        <v>80</v>
      </c>
      <c r="E1" t="s">
        <v>81</v>
      </c>
      <c r="F1" s="32" t="s">
        <v>87</v>
      </c>
      <c r="G1" s="33" t="s">
        <v>88</v>
      </c>
      <c r="H1" s="32" t="s">
        <v>93</v>
      </c>
      <c r="I1" s="33" t="s">
        <v>94</v>
      </c>
      <c r="J1" s="32" t="s">
        <v>99</v>
      </c>
      <c r="K1" s="33" t="s">
        <v>100</v>
      </c>
      <c r="L1" s="32" t="s">
        <v>105</v>
      </c>
      <c r="M1" s="33" t="s">
        <v>106</v>
      </c>
      <c r="N1" s="32" t="s">
        <v>111</v>
      </c>
      <c r="O1" s="33" t="s">
        <v>112</v>
      </c>
      <c r="P1" s="33" t="s">
        <v>139</v>
      </c>
      <c r="Q1" s="33" t="s">
        <v>140</v>
      </c>
      <c r="R1" s="32" t="s">
        <v>117</v>
      </c>
      <c r="S1" s="32" t="s">
        <v>118</v>
      </c>
      <c r="T1" s="32" t="s">
        <v>123</v>
      </c>
      <c r="U1" s="33" t="s">
        <v>124</v>
      </c>
      <c r="W1" t="s">
        <v>128</v>
      </c>
      <c r="X1" t="s">
        <v>17</v>
      </c>
    </row>
    <row r="2" spans="1:24" ht="15.75" thickTop="1">
      <c r="A2" s="31" t="s">
        <v>371</v>
      </c>
      <c r="B2" s="31" t="s">
        <v>307</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14</v>
      </c>
      <c r="L2" s="34">
        <f>MIN(Vertices[Closeness Centrality])</f>
        <v>0.041667</v>
      </c>
      <c r="M2" s="35">
        <f>COUNTIF(Vertices[Closeness Centrality],"&gt;= "&amp;L2)-COUNTIF(Vertices[Closeness Centrality],"&gt;="&amp;L3)</f>
        <v>10</v>
      </c>
      <c r="N2" s="34">
        <f>MIN(Vertices[Eigenvector Centrality])</f>
        <v>0</v>
      </c>
      <c r="O2" s="35">
        <f>COUNTIF(Vertices[Eigenvector Centrality],"&gt;= "&amp;N2)-COUNTIF(Vertices[Eigenvector Centrality],"&gt;="&amp;N3)</f>
        <v>10</v>
      </c>
      <c r="P2" s="34">
        <f>MIN(Vertices[PageRank])</f>
        <v>0.035223</v>
      </c>
      <c r="Q2" s="35">
        <f>COUNTIF(Vertices[PageRank],"&gt;= "&amp;P2)-COUNTIF(Vertices[PageRank],"&gt;="&amp;P3)</f>
        <v>1</v>
      </c>
      <c r="R2" s="34">
        <f>MIN(Vertices[Clustering Coefficient])</f>
        <v>0</v>
      </c>
      <c r="S2" s="40">
        <f>COUNTIF(Vertices[Clustering Coefficient],"&gt;= "&amp;R2)-COUNTIF(Vertices[Clustering Coefficient],"&gt;="&amp;R3)</f>
        <v>18</v>
      </c>
      <c r="T2" s="34" t="e">
        <f ca="1">MIN(INDIRECT(DynamicFilterSourceColumnRange))</f>
        <v>#REF!</v>
      </c>
      <c r="U2" s="35" t="e">
        <f aca="true" t="shared" si="0" ref="U2:U25">COUNTIF(INDIRECT(DynamicFilterSourceColumnRange),"&gt;= "&amp;T2)-COUNTIF(INDIRECT(DynamicFilterSourceColumnRange),"&gt;="&amp;T3)</f>
        <v>#REF!</v>
      </c>
      <c r="W2" t="s">
        <v>125</v>
      </c>
      <c r="X2">
        <f>ROWS(HistogramBins[Degree Bin])-1</f>
        <v>34</v>
      </c>
    </row>
    <row r="3" spans="1:24" ht="15">
      <c r="A3" s="93"/>
      <c r="B3" s="93"/>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0.11764705882352941</v>
      </c>
      <c r="I3" s="37">
        <f>COUNTIF(Vertices[Out-Degree],"&gt;= "&amp;H3)-COUNTIF(Vertices[Out-Degree],"&gt;="&amp;H4)</f>
        <v>0</v>
      </c>
      <c r="J3" s="36">
        <f aca="true" t="shared" si="4" ref="J3:J35">J2+($J$36-$J$2)/BinDivisor</f>
        <v>2.0098039117647057</v>
      </c>
      <c r="K3" s="37">
        <f>COUNTIF(Vertices[Betweenness Centrality],"&gt;= "&amp;J3)-COUNTIF(Vertices[Betweenness Centrality],"&gt;="&amp;J4)</f>
        <v>2</v>
      </c>
      <c r="L3" s="36">
        <f aca="true" t="shared" si="5" ref="L3:L35">L2+($L$36-$L$2)/BinDivisor</f>
        <v>0.050049352941176475</v>
      </c>
      <c r="M3" s="37">
        <f>COUNTIF(Vertices[Closeness Centrality],"&gt;= "&amp;L3)-COUNTIF(Vertices[Closeness Centrality],"&gt;="&amp;L4)</f>
        <v>0</v>
      </c>
      <c r="N3" s="36">
        <f aca="true" t="shared" si="6" ref="N3:N35">N2+($N$36-$N$2)/BinDivisor</f>
        <v>0.013566</v>
      </c>
      <c r="O3" s="37">
        <f>COUNTIF(Vertices[Eigenvector Centrality],"&gt;= "&amp;N3)-COUNTIF(Vertices[Eigenvector Centrality],"&gt;="&amp;N4)</f>
        <v>1</v>
      </c>
      <c r="P3" s="36">
        <f aca="true" t="shared" si="7" ref="P3:P35">P2+($P$36-$P$2)/BinDivisor</f>
        <v>0.0356250294117647</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126</v>
      </c>
      <c r="X3" t="s">
        <v>86</v>
      </c>
    </row>
    <row r="4" spans="1:24" ht="15">
      <c r="A4" s="31" t="s">
        <v>147</v>
      </c>
      <c r="B4" s="31">
        <v>25</v>
      </c>
      <c r="D4" s="29">
        <f t="shared" si="1"/>
        <v>0</v>
      </c>
      <c r="E4">
        <f>COUNTIF(Vertices[Degree],"&gt;= "&amp;D4)-COUNTIF(Vertices[Degree],"&gt;="&amp;D5)</f>
        <v>0</v>
      </c>
      <c r="F4" s="34">
        <f t="shared" si="2"/>
        <v>0.29411764705882354</v>
      </c>
      <c r="G4" s="35">
        <f>COUNTIF(Vertices[In-Degree],"&gt;= "&amp;F4)-COUNTIF(Vertices[In-Degree],"&gt;="&amp;F5)</f>
        <v>0</v>
      </c>
      <c r="H4" s="34">
        <f t="shared" si="3"/>
        <v>0.23529411764705882</v>
      </c>
      <c r="I4" s="35">
        <f>COUNTIF(Vertices[Out-Degree],"&gt;= "&amp;H4)-COUNTIF(Vertices[Out-Degree],"&gt;="&amp;H5)</f>
        <v>0</v>
      </c>
      <c r="J4" s="34">
        <f t="shared" si="4"/>
        <v>4.0196078235294115</v>
      </c>
      <c r="K4" s="35">
        <f>COUNTIF(Vertices[Betweenness Centrality],"&gt;= "&amp;J4)-COUNTIF(Vertices[Betweenness Centrality],"&gt;="&amp;J5)</f>
        <v>1</v>
      </c>
      <c r="L4" s="34">
        <f t="shared" si="5"/>
        <v>0.05843170588235294</v>
      </c>
      <c r="M4" s="35">
        <f>COUNTIF(Vertices[Closeness Centrality],"&gt;= "&amp;L4)-COUNTIF(Vertices[Closeness Centrality],"&gt;="&amp;L5)</f>
        <v>0</v>
      </c>
      <c r="N4" s="34">
        <f t="shared" si="6"/>
        <v>0.027132</v>
      </c>
      <c r="O4" s="35">
        <f>COUNTIF(Vertices[Eigenvector Centrality],"&gt;= "&amp;N4)-COUNTIF(Vertices[Eigenvector Centrality],"&gt;="&amp;N5)</f>
        <v>0</v>
      </c>
      <c r="P4" s="34">
        <f t="shared" si="7"/>
        <v>0.036027058823529405</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127</v>
      </c>
      <c r="X4" t="s">
        <v>129</v>
      </c>
    </row>
    <row r="5" spans="1:21" ht="15">
      <c r="A5" s="93"/>
      <c r="B5" s="93"/>
      <c r="D5" s="29">
        <f t="shared" si="1"/>
        <v>0</v>
      </c>
      <c r="E5">
        <f>COUNTIF(Vertices[Degree],"&gt;= "&amp;D5)-COUNTIF(Vertices[Degree],"&gt;="&amp;D6)</f>
        <v>0</v>
      </c>
      <c r="F5" s="36">
        <f t="shared" si="2"/>
        <v>0.4411764705882353</v>
      </c>
      <c r="G5" s="37">
        <f>COUNTIF(Vertices[In-Degree],"&gt;= "&amp;F5)-COUNTIF(Vertices[In-Degree],"&gt;="&amp;F6)</f>
        <v>0</v>
      </c>
      <c r="H5" s="36">
        <f t="shared" si="3"/>
        <v>0.3529411764705882</v>
      </c>
      <c r="I5" s="37">
        <f>COUNTIF(Vertices[Out-Degree],"&gt;= "&amp;H5)-COUNTIF(Vertices[Out-Degree],"&gt;="&amp;H6)</f>
        <v>0</v>
      </c>
      <c r="J5" s="36">
        <f t="shared" si="4"/>
        <v>6.029411735294117</v>
      </c>
      <c r="K5" s="37">
        <f>COUNTIF(Vertices[Betweenness Centrality],"&gt;= "&amp;J5)-COUNTIF(Vertices[Betweenness Centrality],"&gt;="&amp;J6)</f>
        <v>0</v>
      </c>
      <c r="L5" s="36">
        <f t="shared" si="5"/>
        <v>0.06681405882352941</v>
      </c>
      <c r="M5" s="37">
        <f>COUNTIF(Vertices[Closeness Centrality],"&gt;= "&amp;L5)-COUNTIF(Vertices[Closeness Centrality],"&gt;="&amp;L6)</f>
        <v>0</v>
      </c>
      <c r="N5" s="36">
        <f t="shared" si="6"/>
        <v>0.040698</v>
      </c>
      <c r="O5" s="37">
        <f>COUNTIF(Vertices[Eigenvector Centrality],"&gt;= "&amp;N5)-COUNTIF(Vertices[Eigenvector Centrality],"&gt;="&amp;N6)</f>
        <v>0</v>
      </c>
      <c r="P5" s="36">
        <f t="shared" si="7"/>
        <v>0.03642908823529411</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149</v>
      </c>
      <c r="B6" s="31">
        <v>27</v>
      </c>
      <c r="D6" s="29">
        <f t="shared" si="1"/>
        <v>0</v>
      </c>
      <c r="E6">
        <f>COUNTIF(Vertices[Degree],"&gt;= "&amp;D6)-COUNTIF(Vertices[Degree],"&gt;="&amp;D7)</f>
        <v>0</v>
      </c>
      <c r="F6" s="34">
        <f t="shared" si="2"/>
        <v>0.5882352941176471</v>
      </c>
      <c r="G6" s="35">
        <f>COUNTIF(Vertices[In-Degree],"&gt;= "&amp;F6)-COUNTIF(Vertices[In-Degree],"&gt;="&amp;F7)</f>
        <v>0</v>
      </c>
      <c r="H6" s="34">
        <f t="shared" si="3"/>
        <v>0.47058823529411764</v>
      </c>
      <c r="I6" s="35">
        <f>COUNTIF(Vertices[Out-Degree],"&gt;= "&amp;H6)-COUNTIF(Vertices[Out-Degree],"&gt;="&amp;H7)</f>
        <v>0</v>
      </c>
      <c r="J6" s="34">
        <f t="shared" si="4"/>
        <v>8.039215647058823</v>
      </c>
      <c r="K6" s="35">
        <f>COUNTIF(Vertices[Betweenness Centrality],"&gt;= "&amp;J6)-COUNTIF(Vertices[Betweenness Centrality],"&gt;="&amp;J7)</f>
        <v>0</v>
      </c>
      <c r="L6" s="34">
        <f t="shared" si="5"/>
        <v>0.07519641176470587</v>
      </c>
      <c r="M6" s="35">
        <f>COUNTIF(Vertices[Closeness Centrality],"&gt;= "&amp;L6)-COUNTIF(Vertices[Closeness Centrality],"&gt;="&amp;L7)</f>
        <v>0</v>
      </c>
      <c r="N6" s="34">
        <f t="shared" si="6"/>
        <v>0.054264</v>
      </c>
      <c r="O6" s="35">
        <f>COUNTIF(Vertices[Eigenvector Centrality],"&gt;= "&amp;N6)-COUNTIF(Vertices[Eigenvector Centrality],"&gt;="&amp;N7)</f>
        <v>2</v>
      </c>
      <c r="P6" s="34">
        <f t="shared" si="7"/>
        <v>0.03683111764705881</v>
      </c>
      <c r="Q6" s="35">
        <f>COUNTIF(Vertices[PageRank],"&gt;= "&amp;P6)-COUNTIF(Vertices[PageRank],"&gt;="&amp;P7)</f>
        <v>2</v>
      </c>
      <c r="R6" s="34">
        <f t="shared" si="8"/>
        <v>0.058823529411764705</v>
      </c>
      <c r="S6" s="40">
        <f>COUNTIF(Vertices[Clustering Coefficient],"&gt;= "&amp;R6)-COUNTIF(Vertices[Clustering Coefficient],"&gt;="&amp;R7)</f>
        <v>0</v>
      </c>
      <c r="T6" s="34" t="e">
        <f ca="1" t="shared" si="9"/>
        <v>#REF!</v>
      </c>
      <c r="U6" s="35" t="e">
        <f ca="1" t="shared" si="0"/>
        <v>#REF!</v>
      </c>
    </row>
    <row r="7" spans="1:21" ht="15">
      <c r="A7" s="31" t="s">
        <v>150</v>
      </c>
      <c r="B7" s="31">
        <v>0</v>
      </c>
      <c r="D7" s="29">
        <f t="shared" si="1"/>
        <v>0</v>
      </c>
      <c r="E7">
        <f>COUNTIF(Vertices[Degree],"&gt;= "&amp;D7)-COUNTIF(Vertices[Degree],"&gt;="&amp;D8)</f>
        <v>0</v>
      </c>
      <c r="F7" s="36">
        <f t="shared" si="2"/>
        <v>0.7352941176470589</v>
      </c>
      <c r="G7" s="37">
        <f>COUNTIF(Vertices[In-Degree],"&gt;= "&amp;F7)-COUNTIF(Vertices[In-Degree],"&gt;="&amp;F8)</f>
        <v>0</v>
      </c>
      <c r="H7" s="36">
        <f t="shared" si="3"/>
        <v>0.5882352941176471</v>
      </c>
      <c r="I7" s="37">
        <f>COUNTIF(Vertices[Out-Degree],"&gt;= "&amp;H7)-COUNTIF(Vertices[Out-Degree],"&gt;="&amp;H8)</f>
        <v>0</v>
      </c>
      <c r="J7" s="36">
        <f t="shared" si="4"/>
        <v>10.04901955882353</v>
      </c>
      <c r="K7" s="37">
        <f>COUNTIF(Vertices[Betweenness Centrality],"&gt;= "&amp;J7)-COUNTIF(Vertices[Betweenness Centrality],"&gt;="&amp;J8)</f>
        <v>1</v>
      </c>
      <c r="L7" s="36">
        <f t="shared" si="5"/>
        <v>0.08357876470588234</v>
      </c>
      <c r="M7" s="37">
        <f>COUNTIF(Vertices[Closeness Centrality],"&gt;= "&amp;L7)-COUNTIF(Vertices[Closeness Centrality],"&gt;="&amp;L8)</f>
        <v>0</v>
      </c>
      <c r="N7" s="36">
        <f t="shared" si="6"/>
        <v>0.06783</v>
      </c>
      <c r="O7" s="37">
        <f>COUNTIF(Vertices[Eigenvector Centrality],"&gt;= "&amp;N7)-COUNTIF(Vertices[Eigenvector Centrality],"&gt;="&amp;N8)</f>
        <v>0</v>
      </c>
      <c r="P7" s="36">
        <f t="shared" si="7"/>
        <v>0.03723314705882352</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151</v>
      </c>
      <c r="B8" s="31">
        <v>27</v>
      </c>
      <c r="D8" s="29">
        <f t="shared" si="1"/>
        <v>0</v>
      </c>
      <c r="E8">
        <f>COUNTIF(Vertices[Degree],"&gt;= "&amp;D8)-COUNTIF(Vertices[Degree],"&gt;="&amp;D9)</f>
        <v>0</v>
      </c>
      <c r="F8" s="34">
        <f t="shared" si="2"/>
        <v>0.8823529411764707</v>
      </c>
      <c r="G8" s="35">
        <f>COUNTIF(Vertices[In-Degree],"&gt;= "&amp;F8)-COUNTIF(Vertices[In-Degree],"&gt;="&amp;F9)</f>
        <v>8</v>
      </c>
      <c r="H8" s="34">
        <f t="shared" si="3"/>
        <v>0.7058823529411765</v>
      </c>
      <c r="I8" s="35">
        <f>COUNTIF(Vertices[Out-Degree],"&gt;= "&amp;H8)-COUNTIF(Vertices[Out-Degree],"&gt;="&amp;H9)</f>
        <v>0</v>
      </c>
      <c r="J8" s="34">
        <f t="shared" si="4"/>
        <v>12.058823470588235</v>
      </c>
      <c r="K8" s="35">
        <f>COUNTIF(Vertices[Betweenness Centrality],"&gt;= "&amp;J8)-COUNTIF(Vertices[Betweenness Centrality],"&gt;="&amp;J9)</f>
        <v>2</v>
      </c>
      <c r="L8" s="34">
        <f t="shared" si="5"/>
        <v>0.0919611176470588</v>
      </c>
      <c r="M8" s="35">
        <f>COUNTIF(Vertices[Closeness Centrality],"&gt;= "&amp;L8)-COUNTIF(Vertices[Closeness Centrality],"&gt;="&amp;L9)</f>
        <v>0</v>
      </c>
      <c r="N8" s="34">
        <f t="shared" si="6"/>
        <v>0.081396</v>
      </c>
      <c r="O8" s="35">
        <f>COUNTIF(Vertices[Eigenvector Centrality],"&gt;= "&amp;N8)-COUNTIF(Vertices[Eigenvector Centrality],"&gt;="&amp;N9)</f>
        <v>0</v>
      </c>
      <c r="P8" s="34">
        <f t="shared" si="7"/>
        <v>0.03763517647058822</v>
      </c>
      <c r="Q8" s="35">
        <f>COUNTIF(Vertices[PageRank],"&gt;= "&amp;P8)-COUNTIF(Vertices[PageRank],"&gt;="&amp;P9)</f>
        <v>1</v>
      </c>
      <c r="R8" s="34">
        <f t="shared" si="8"/>
        <v>0.08823529411764706</v>
      </c>
      <c r="S8" s="40">
        <f>COUNTIF(Vertices[Clustering Coefficient],"&gt;= "&amp;R8)-COUNTIF(Vertices[Clustering Coefficient],"&gt;="&amp;R9)</f>
        <v>1</v>
      </c>
      <c r="T8" s="34" t="e">
        <f ca="1" t="shared" si="9"/>
        <v>#REF!</v>
      </c>
      <c r="U8" s="35" t="e">
        <f ca="1" t="shared" si="0"/>
        <v>#REF!</v>
      </c>
    </row>
    <row r="9" spans="1:21" ht="15">
      <c r="A9" s="93"/>
      <c r="B9" s="93"/>
      <c r="D9" s="29">
        <f t="shared" si="1"/>
        <v>0</v>
      </c>
      <c r="E9">
        <f>COUNTIF(Vertices[Degree],"&gt;= "&amp;D9)-COUNTIF(Vertices[Degree],"&gt;="&amp;D10)</f>
        <v>0</v>
      </c>
      <c r="F9" s="36">
        <f t="shared" si="2"/>
        <v>1.0294117647058825</v>
      </c>
      <c r="G9" s="37">
        <f>COUNTIF(Vertices[In-Degree],"&gt;= "&amp;F9)-COUNTIF(Vertices[In-Degree],"&gt;="&amp;F10)</f>
        <v>0</v>
      </c>
      <c r="H9" s="36">
        <f t="shared" si="3"/>
        <v>0.823529411764706</v>
      </c>
      <c r="I9" s="37">
        <f>COUNTIF(Vertices[Out-Degree],"&gt;= "&amp;H9)-COUNTIF(Vertices[Out-Degree],"&gt;="&amp;H10)</f>
        <v>0</v>
      </c>
      <c r="J9" s="36">
        <f t="shared" si="4"/>
        <v>14.068627382352942</v>
      </c>
      <c r="K9" s="37">
        <f>COUNTIF(Vertices[Betweenness Centrality],"&gt;= "&amp;J9)-COUNTIF(Vertices[Betweenness Centrality],"&gt;="&amp;J10)</f>
        <v>0</v>
      </c>
      <c r="L9" s="36">
        <f t="shared" si="5"/>
        <v>0.10034347058823527</v>
      </c>
      <c r="M9" s="37">
        <f>COUNTIF(Vertices[Closeness Centrality],"&gt;= "&amp;L9)-COUNTIF(Vertices[Closeness Centrality],"&gt;="&amp;L10)</f>
        <v>0</v>
      </c>
      <c r="N9" s="36">
        <f t="shared" si="6"/>
        <v>0.09496199999999999</v>
      </c>
      <c r="O9" s="37">
        <f>COUNTIF(Vertices[Eigenvector Centrality],"&gt;= "&amp;N9)-COUNTIF(Vertices[Eigenvector Centrality],"&gt;="&amp;N10)</f>
        <v>1</v>
      </c>
      <c r="P9" s="36">
        <f t="shared" si="7"/>
        <v>0.038037205882352924</v>
      </c>
      <c r="Q9" s="37">
        <f>COUNTIF(Vertices[PageRank],"&gt;= "&amp;P9)-COUNTIF(Vertices[PageRank],"&gt;="&amp;P10)</f>
        <v>4</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152</v>
      </c>
      <c r="B10" s="31">
        <v>0</v>
      </c>
      <c r="D10" s="29">
        <f t="shared" si="1"/>
        <v>0</v>
      </c>
      <c r="E10">
        <f>COUNTIF(Vertices[Degree],"&gt;= "&amp;D10)-COUNTIF(Vertices[Degree],"&gt;="&amp;D11)</f>
        <v>0</v>
      </c>
      <c r="F10" s="34">
        <f t="shared" si="2"/>
        <v>1.1764705882352942</v>
      </c>
      <c r="G10" s="35">
        <f>COUNTIF(Vertices[In-Degree],"&gt;= "&amp;F10)-COUNTIF(Vertices[In-Degree],"&gt;="&amp;F11)</f>
        <v>0</v>
      </c>
      <c r="H10" s="34">
        <f t="shared" si="3"/>
        <v>0.9411764705882354</v>
      </c>
      <c r="I10" s="35">
        <f>COUNTIF(Vertices[Out-Degree],"&gt;= "&amp;H10)-COUNTIF(Vertices[Out-Degree],"&gt;="&amp;H11)</f>
        <v>14</v>
      </c>
      <c r="J10" s="34">
        <f t="shared" si="4"/>
        <v>16.078431294117646</v>
      </c>
      <c r="K10" s="35">
        <f>COUNTIF(Vertices[Betweenness Centrality],"&gt;= "&amp;J10)-COUNTIF(Vertices[Betweenness Centrality],"&gt;="&amp;J11)</f>
        <v>0</v>
      </c>
      <c r="L10" s="34">
        <f t="shared" si="5"/>
        <v>0.10872582352941174</v>
      </c>
      <c r="M10" s="35">
        <f>COUNTIF(Vertices[Closeness Centrality],"&gt;= "&amp;L10)-COUNTIF(Vertices[Closeness Centrality],"&gt;="&amp;L11)</f>
        <v>0</v>
      </c>
      <c r="N10" s="34">
        <f t="shared" si="6"/>
        <v>0.10852799999999999</v>
      </c>
      <c r="O10" s="35">
        <f>COUNTIF(Vertices[Eigenvector Centrality],"&gt;= "&amp;N10)-COUNTIF(Vertices[Eigenvector Centrality],"&gt;="&amp;N11)</f>
        <v>0</v>
      </c>
      <c r="P10" s="34">
        <f t="shared" si="7"/>
        <v>0.03843923529411763</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93"/>
      <c r="B11" s="93"/>
      <c r="D11" s="29">
        <f t="shared" si="1"/>
        <v>0</v>
      </c>
      <c r="E11">
        <f>COUNTIF(Vertices[Degree],"&gt;= "&amp;D11)-COUNTIF(Vertices[Degree],"&gt;="&amp;D12)</f>
        <v>0</v>
      </c>
      <c r="F11" s="36">
        <f t="shared" si="2"/>
        <v>1.3235294117647058</v>
      </c>
      <c r="G11" s="37">
        <f>COUNTIF(Vertices[In-Degree],"&gt;= "&amp;F11)-COUNTIF(Vertices[In-Degree],"&gt;="&amp;F12)</f>
        <v>0</v>
      </c>
      <c r="H11" s="36">
        <f t="shared" si="3"/>
        <v>1.0588235294117647</v>
      </c>
      <c r="I11" s="37">
        <f>COUNTIF(Vertices[Out-Degree],"&gt;= "&amp;H11)-COUNTIF(Vertices[Out-Degree],"&gt;="&amp;H12)</f>
        <v>0</v>
      </c>
      <c r="J11" s="36">
        <f t="shared" si="4"/>
        <v>18.088235205882352</v>
      </c>
      <c r="K11" s="37">
        <f>COUNTIF(Vertices[Betweenness Centrality],"&gt;= "&amp;J11)-COUNTIF(Vertices[Betweenness Centrality],"&gt;="&amp;J12)</f>
        <v>0</v>
      </c>
      <c r="L11" s="36">
        <f t="shared" si="5"/>
        <v>0.1171081764705882</v>
      </c>
      <c r="M11" s="37">
        <f>COUNTIF(Vertices[Closeness Centrality],"&gt;= "&amp;L11)-COUNTIF(Vertices[Closeness Centrality],"&gt;="&amp;L12)</f>
        <v>0</v>
      </c>
      <c r="N11" s="36">
        <f t="shared" si="6"/>
        <v>0.12209399999999998</v>
      </c>
      <c r="O11" s="37">
        <f>COUNTIF(Vertices[Eigenvector Centrality],"&gt;= "&amp;N11)-COUNTIF(Vertices[Eigenvector Centrality],"&gt;="&amp;N12)</f>
        <v>2</v>
      </c>
      <c r="P11" s="36">
        <f t="shared" si="7"/>
        <v>0.03884126470588233</v>
      </c>
      <c r="Q11" s="37">
        <f>COUNTIF(Vertices[PageRank],"&gt;= "&amp;P11)-COUNTIF(Vertices[PageRank],"&gt;="&amp;P12)</f>
        <v>0</v>
      </c>
      <c r="R11" s="36">
        <f t="shared" si="8"/>
        <v>0.1323529411764706</v>
      </c>
      <c r="S11" s="41">
        <f>COUNTIF(Vertices[Clustering Coefficient],"&gt;= "&amp;R11)-COUNTIF(Vertices[Clustering Coefficient],"&gt;="&amp;R12)</f>
        <v>1</v>
      </c>
      <c r="T11" s="36" t="e">
        <f ca="1" t="shared" si="9"/>
        <v>#REF!</v>
      </c>
      <c r="U11" s="37" t="e">
        <f ca="1" t="shared" si="0"/>
        <v>#REF!</v>
      </c>
    </row>
    <row r="12" spans="1:21" ht="15">
      <c r="A12" s="31" t="s">
        <v>171</v>
      </c>
      <c r="B12" s="31">
        <v>0</v>
      </c>
      <c r="D12" s="29">
        <f t="shared" si="1"/>
        <v>0</v>
      </c>
      <c r="E12">
        <f>COUNTIF(Vertices[Degree],"&gt;= "&amp;D12)-COUNTIF(Vertices[Degree],"&gt;="&amp;D13)</f>
        <v>0</v>
      </c>
      <c r="F12" s="34">
        <f t="shared" si="2"/>
        <v>1.4705882352941175</v>
      </c>
      <c r="G12" s="35">
        <f>COUNTIF(Vertices[In-Degree],"&gt;= "&amp;F12)-COUNTIF(Vertices[In-Degree],"&gt;="&amp;F13)</f>
        <v>0</v>
      </c>
      <c r="H12" s="34">
        <f t="shared" si="3"/>
        <v>1.1764705882352942</v>
      </c>
      <c r="I12" s="35">
        <f>COUNTIF(Vertices[Out-Degree],"&gt;= "&amp;H12)-COUNTIF(Vertices[Out-Degree],"&gt;="&amp;H13)</f>
        <v>0</v>
      </c>
      <c r="J12" s="34">
        <f t="shared" si="4"/>
        <v>20.09803911764706</v>
      </c>
      <c r="K12" s="35">
        <f>COUNTIF(Vertices[Betweenness Centrality],"&gt;= "&amp;J12)-COUNTIF(Vertices[Betweenness Centrality],"&gt;="&amp;J13)</f>
        <v>0</v>
      </c>
      <c r="L12" s="34">
        <f t="shared" si="5"/>
        <v>0.12549052941176467</v>
      </c>
      <c r="M12" s="35">
        <f>COUNTIF(Vertices[Closeness Centrality],"&gt;= "&amp;L12)-COUNTIF(Vertices[Closeness Centrality],"&gt;="&amp;L13)</f>
        <v>0</v>
      </c>
      <c r="N12" s="34">
        <f t="shared" si="6"/>
        <v>0.13565999999999998</v>
      </c>
      <c r="O12" s="35">
        <f>COUNTIF(Vertices[Eigenvector Centrality],"&gt;= "&amp;N12)-COUNTIF(Vertices[Eigenvector Centrality],"&gt;="&amp;N13)</f>
        <v>1</v>
      </c>
      <c r="P12" s="34">
        <f t="shared" si="7"/>
        <v>0.039243294117647036</v>
      </c>
      <c r="Q12" s="35">
        <f>COUNTIF(Vertices[PageRank],"&gt;= "&amp;P12)-COUNTIF(Vertices[PageRank],"&gt;="&amp;P13)</f>
        <v>1</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172</v>
      </c>
      <c r="B13" s="31">
        <v>0</v>
      </c>
      <c r="D13" s="29">
        <f t="shared" si="1"/>
        <v>0</v>
      </c>
      <c r="E13">
        <f>COUNTIF(Vertices[Degree],"&gt;= "&amp;D13)-COUNTIF(Vertices[Degree],"&gt;="&amp;D14)</f>
        <v>0</v>
      </c>
      <c r="F13" s="36">
        <f t="shared" si="2"/>
        <v>1.6176470588235292</v>
      </c>
      <c r="G13" s="37">
        <f>COUNTIF(Vertices[In-Degree],"&gt;= "&amp;F13)-COUNTIF(Vertices[In-Degree],"&gt;="&amp;F14)</f>
        <v>0</v>
      </c>
      <c r="H13" s="36">
        <f t="shared" si="3"/>
        <v>1.2941176470588236</v>
      </c>
      <c r="I13" s="37">
        <f>COUNTIF(Vertices[Out-Degree],"&gt;= "&amp;H13)-COUNTIF(Vertices[Out-Degree],"&gt;="&amp;H14)</f>
        <v>0</v>
      </c>
      <c r="J13" s="36">
        <f t="shared" si="4"/>
        <v>22.107843029411764</v>
      </c>
      <c r="K13" s="37">
        <f>COUNTIF(Vertices[Betweenness Centrality],"&gt;= "&amp;J13)-COUNTIF(Vertices[Betweenness Centrality],"&gt;="&amp;J14)</f>
        <v>0</v>
      </c>
      <c r="L13" s="36">
        <f t="shared" si="5"/>
        <v>0.13387288235294115</v>
      </c>
      <c r="M13" s="37">
        <f>COUNTIF(Vertices[Closeness Centrality],"&gt;= "&amp;L13)-COUNTIF(Vertices[Closeness Centrality],"&gt;="&amp;L14)</f>
        <v>0</v>
      </c>
      <c r="N13" s="36">
        <f t="shared" si="6"/>
        <v>0.14922599999999997</v>
      </c>
      <c r="O13" s="37">
        <f>COUNTIF(Vertices[Eigenvector Centrality],"&gt;= "&amp;N13)-COUNTIF(Vertices[Eigenvector Centrality],"&gt;="&amp;N14)</f>
        <v>1</v>
      </c>
      <c r="P13" s="36">
        <f t="shared" si="7"/>
        <v>0.03964532352941174</v>
      </c>
      <c r="Q13" s="37">
        <f>COUNTIF(Vertices[PageRank],"&gt;= "&amp;P13)-COUNTIF(Vertices[PageRank],"&gt;="&amp;P14)</f>
        <v>11</v>
      </c>
      <c r="R13" s="36">
        <f t="shared" si="8"/>
        <v>0.16176470588235295</v>
      </c>
      <c r="S13" s="41">
        <f>COUNTIF(Vertices[Clustering Coefficient],"&gt;= "&amp;R13)-COUNTIF(Vertices[Clustering Coefficient],"&gt;="&amp;R14)</f>
        <v>1</v>
      </c>
      <c r="T13" s="36" t="e">
        <f ca="1" t="shared" si="9"/>
        <v>#REF!</v>
      </c>
      <c r="U13" s="37" t="e">
        <f ca="1" t="shared" si="0"/>
        <v>#REF!</v>
      </c>
    </row>
    <row r="14" spans="1:21" ht="15">
      <c r="A14" s="93"/>
      <c r="B14" s="93"/>
      <c r="D14" s="29">
        <f t="shared" si="1"/>
        <v>0</v>
      </c>
      <c r="E14">
        <f>COUNTIF(Vertices[Degree],"&gt;= "&amp;D14)-COUNTIF(Vertices[Degree],"&gt;="&amp;D15)</f>
        <v>0</v>
      </c>
      <c r="F14" s="34">
        <f t="shared" si="2"/>
        <v>1.764705882352941</v>
      </c>
      <c r="G14" s="35">
        <f>COUNTIF(Vertices[In-Degree],"&gt;= "&amp;F14)-COUNTIF(Vertices[In-Degree],"&gt;="&amp;F15)</f>
        <v>0</v>
      </c>
      <c r="H14" s="34">
        <f t="shared" si="3"/>
        <v>1.411764705882353</v>
      </c>
      <c r="I14" s="35">
        <f>COUNTIF(Vertices[Out-Degree],"&gt;= "&amp;H14)-COUNTIF(Vertices[Out-Degree],"&gt;="&amp;H15)</f>
        <v>0</v>
      </c>
      <c r="J14" s="34">
        <f t="shared" si="4"/>
        <v>24.11764694117647</v>
      </c>
      <c r="K14" s="35">
        <f>COUNTIF(Vertices[Betweenness Centrality],"&gt;= "&amp;J14)-COUNTIF(Vertices[Betweenness Centrality],"&gt;="&amp;J15)</f>
        <v>1</v>
      </c>
      <c r="L14" s="34">
        <f t="shared" si="5"/>
        <v>0.14225523529411763</v>
      </c>
      <c r="M14" s="35">
        <f>COUNTIF(Vertices[Closeness Centrality],"&gt;= "&amp;L14)-COUNTIF(Vertices[Closeness Centrality],"&gt;="&amp;L15)</f>
        <v>1</v>
      </c>
      <c r="N14" s="34">
        <f t="shared" si="6"/>
        <v>0.16279199999999996</v>
      </c>
      <c r="O14" s="35">
        <f>COUNTIF(Vertices[Eigenvector Centrality],"&gt;= "&amp;N14)-COUNTIF(Vertices[Eigenvector Centrality],"&gt;="&amp;N15)</f>
        <v>1</v>
      </c>
      <c r="P14" s="34">
        <f t="shared" si="7"/>
        <v>0.040047352941176444</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153</v>
      </c>
      <c r="B15" s="31">
        <v>6</v>
      </c>
      <c r="D15" s="29">
        <f t="shared" si="1"/>
        <v>0</v>
      </c>
      <c r="E15">
        <f>COUNTIF(Vertices[Degree],"&gt;= "&amp;D15)-COUNTIF(Vertices[Degree],"&gt;="&amp;D16)</f>
        <v>0</v>
      </c>
      <c r="F15" s="36">
        <f t="shared" si="2"/>
        <v>1.9117647058823526</v>
      </c>
      <c r="G15" s="37">
        <f>COUNTIF(Vertices[In-Degree],"&gt;= "&amp;F15)-COUNTIF(Vertices[In-Degree],"&gt;="&amp;F16)</f>
        <v>4</v>
      </c>
      <c r="H15" s="36">
        <f t="shared" si="3"/>
        <v>1.5294117647058825</v>
      </c>
      <c r="I15" s="37">
        <f>COUNTIF(Vertices[Out-Degree],"&gt;= "&amp;H15)-COUNTIF(Vertices[Out-Degree],"&gt;="&amp;H16)</f>
        <v>0</v>
      </c>
      <c r="J15" s="36">
        <f t="shared" si="4"/>
        <v>26.127450852941177</v>
      </c>
      <c r="K15" s="37">
        <f>COUNTIF(Vertices[Betweenness Centrality],"&gt;= "&amp;J15)-COUNTIF(Vertices[Betweenness Centrality],"&gt;="&amp;J16)</f>
        <v>0</v>
      </c>
      <c r="L15" s="36">
        <f t="shared" si="5"/>
        <v>0.1506375882352941</v>
      </c>
      <c r="M15" s="37">
        <f>COUNTIF(Vertices[Closeness Centrality],"&gt;= "&amp;L15)-COUNTIF(Vertices[Closeness Centrality],"&gt;="&amp;L16)</f>
        <v>0</v>
      </c>
      <c r="N15" s="36">
        <f t="shared" si="6"/>
        <v>0.17635799999999996</v>
      </c>
      <c r="O15" s="37">
        <f>COUNTIF(Vertices[Eigenvector Centrality],"&gt;= "&amp;N15)-COUNTIF(Vertices[Eigenvector Centrality],"&gt;="&amp;N16)</f>
        <v>0</v>
      </c>
      <c r="P15" s="36">
        <f t="shared" si="7"/>
        <v>0.04044938235294115</v>
      </c>
      <c r="Q15" s="37">
        <f>COUNTIF(Vertices[PageRank],"&gt;= "&amp;P15)-COUNTIF(Vertices[PageRank],"&gt;="&amp;P16)</f>
        <v>0</v>
      </c>
      <c r="R15" s="36">
        <f t="shared" si="8"/>
        <v>0.1911764705882353</v>
      </c>
      <c r="S15" s="41">
        <f>COUNTIF(Vertices[Clustering Coefficient],"&gt;= "&amp;R15)-COUNTIF(Vertices[Clustering Coefficient],"&gt;="&amp;R16)</f>
        <v>1</v>
      </c>
      <c r="T15" s="36" t="e">
        <f ca="1" t="shared" si="9"/>
        <v>#REF!</v>
      </c>
      <c r="U15" s="37" t="e">
        <f ca="1" t="shared" si="0"/>
        <v>#REF!</v>
      </c>
    </row>
    <row r="16" spans="1:21" ht="15">
      <c r="A16" s="31" t="s">
        <v>154</v>
      </c>
      <c r="B16" s="31">
        <v>0</v>
      </c>
      <c r="D16" s="29">
        <f t="shared" si="1"/>
        <v>0</v>
      </c>
      <c r="E16">
        <f>COUNTIF(Vertices[Degree],"&gt;= "&amp;D16)-COUNTIF(Vertices[Degree],"&gt;="&amp;D17)</f>
        <v>0</v>
      </c>
      <c r="F16" s="34">
        <f t="shared" si="2"/>
        <v>2.0588235294117645</v>
      </c>
      <c r="G16" s="35">
        <f>COUNTIF(Vertices[In-Degree],"&gt;= "&amp;F16)-COUNTIF(Vertices[In-Degree],"&gt;="&amp;F17)</f>
        <v>0</v>
      </c>
      <c r="H16" s="34">
        <f t="shared" si="3"/>
        <v>1.647058823529412</v>
      </c>
      <c r="I16" s="35">
        <f>COUNTIF(Vertices[Out-Degree],"&gt;= "&amp;H16)-COUNTIF(Vertices[Out-Degree],"&gt;="&amp;H17)</f>
        <v>0</v>
      </c>
      <c r="J16" s="34">
        <f t="shared" si="4"/>
        <v>28.137254764705883</v>
      </c>
      <c r="K16" s="35">
        <f>COUNTIF(Vertices[Betweenness Centrality],"&gt;= "&amp;J16)-COUNTIF(Vertices[Betweenness Centrality],"&gt;="&amp;J17)</f>
        <v>0</v>
      </c>
      <c r="L16" s="34">
        <f t="shared" si="5"/>
        <v>0.1590199411764706</v>
      </c>
      <c r="M16" s="35">
        <f>COUNTIF(Vertices[Closeness Centrality],"&gt;= "&amp;L16)-COUNTIF(Vertices[Closeness Centrality],"&gt;="&amp;L17)</f>
        <v>0</v>
      </c>
      <c r="N16" s="34">
        <f t="shared" si="6"/>
        <v>0.18992399999999995</v>
      </c>
      <c r="O16" s="35">
        <f>COUNTIF(Vertices[Eigenvector Centrality],"&gt;= "&amp;N16)-COUNTIF(Vertices[Eigenvector Centrality],"&gt;="&amp;N17)</f>
        <v>0</v>
      </c>
      <c r="P16" s="34">
        <f t="shared" si="7"/>
        <v>0.04085141176470585</v>
      </c>
      <c r="Q16" s="35">
        <f>COUNTIF(Vertices[PageRank],"&gt;= "&amp;P16)-COUNTIF(Vertices[PageRank],"&gt;="&amp;P17)</f>
        <v>1</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155</v>
      </c>
      <c r="B17" s="31">
        <v>15</v>
      </c>
      <c r="D17" s="29">
        <f t="shared" si="1"/>
        <v>0</v>
      </c>
      <c r="E17">
        <f>COUNTIF(Vertices[Degree],"&gt;= "&amp;D17)-COUNTIF(Vertices[Degree],"&gt;="&amp;D18)</f>
        <v>0</v>
      </c>
      <c r="F17" s="36">
        <f t="shared" si="2"/>
        <v>2.205882352941176</v>
      </c>
      <c r="G17" s="37">
        <f>COUNTIF(Vertices[In-Degree],"&gt;= "&amp;F17)-COUNTIF(Vertices[In-Degree],"&gt;="&amp;F18)</f>
        <v>0</v>
      </c>
      <c r="H17" s="36">
        <f t="shared" si="3"/>
        <v>1.7647058823529413</v>
      </c>
      <c r="I17" s="37">
        <f>COUNTIF(Vertices[Out-Degree],"&gt;= "&amp;H17)-COUNTIF(Vertices[Out-Degree],"&gt;="&amp;H18)</f>
        <v>0</v>
      </c>
      <c r="J17" s="36">
        <f t="shared" si="4"/>
        <v>30.14705867647059</v>
      </c>
      <c r="K17" s="37">
        <f>COUNTIF(Vertices[Betweenness Centrality],"&gt;= "&amp;J17)-COUNTIF(Vertices[Betweenness Centrality],"&gt;="&amp;J18)</f>
        <v>0</v>
      </c>
      <c r="L17" s="36">
        <f t="shared" si="5"/>
        <v>0.16740229411764707</v>
      </c>
      <c r="M17" s="37">
        <f>COUNTIF(Vertices[Closeness Centrality],"&gt;= "&amp;L17)-COUNTIF(Vertices[Closeness Centrality],"&gt;="&amp;L18)</f>
        <v>0</v>
      </c>
      <c r="N17" s="36">
        <f t="shared" si="6"/>
        <v>0.20348999999999995</v>
      </c>
      <c r="O17" s="37">
        <f>COUNTIF(Vertices[Eigenvector Centrality],"&gt;= "&amp;N17)-COUNTIF(Vertices[Eigenvector Centrality],"&gt;="&amp;N18)</f>
        <v>0</v>
      </c>
      <c r="P17" s="36">
        <f t="shared" si="7"/>
        <v>0.041253441176470555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156</v>
      </c>
      <c r="B18" s="31">
        <v>22</v>
      </c>
      <c r="D18" s="29">
        <f t="shared" si="1"/>
        <v>0</v>
      </c>
      <c r="E18">
        <f>COUNTIF(Vertices[Degree],"&gt;= "&amp;D18)-COUNTIF(Vertices[Degree],"&gt;="&amp;D19)</f>
        <v>0</v>
      </c>
      <c r="F18" s="34">
        <f t="shared" si="2"/>
        <v>2.352941176470588</v>
      </c>
      <c r="G18" s="35">
        <f>COUNTIF(Vertices[In-Degree],"&gt;= "&amp;F18)-COUNTIF(Vertices[In-Degree],"&gt;="&amp;F19)</f>
        <v>0</v>
      </c>
      <c r="H18" s="34">
        <f t="shared" si="3"/>
        <v>1.8823529411764708</v>
      </c>
      <c r="I18" s="35">
        <f>COUNTIF(Vertices[Out-Degree],"&gt;= "&amp;H18)-COUNTIF(Vertices[Out-Degree],"&gt;="&amp;H19)</f>
        <v>0</v>
      </c>
      <c r="J18" s="34">
        <f t="shared" si="4"/>
        <v>32.15686258823529</v>
      </c>
      <c r="K18" s="35">
        <f>COUNTIF(Vertices[Betweenness Centrality],"&gt;= "&amp;J18)-COUNTIF(Vertices[Betweenness Centrality],"&gt;="&amp;J19)</f>
        <v>0</v>
      </c>
      <c r="L18" s="34">
        <f t="shared" si="5"/>
        <v>0.17578464705882355</v>
      </c>
      <c r="M18" s="35">
        <f>COUNTIF(Vertices[Closeness Centrality],"&gt;= "&amp;L18)-COUNTIF(Vertices[Closeness Centrality],"&gt;="&amp;L19)</f>
        <v>0</v>
      </c>
      <c r="N18" s="34">
        <f t="shared" si="6"/>
        <v>0.21705599999999994</v>
      </c>
      <c r="O18" s="35">
        <f>COUNTIF(Vertices[Eigenvector Centrality],"&gt;= "&amp;N18)-COUNTIF(Vertices[Eigenvector Centrality],"&gt;="&amp;N19)</f>
        <v>0</v>
      </c>
      <c r="P18" s="34">
        <f t="shared" si="7"/>
        <v>0.04165547058823526</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93"/>
      <c r="B19" s="93"/>
      <c r="D19" s="29">
        <f t="shared" si="1"/>
        <v>0</v>
      </c>
      <c r="E19">
        <f>COUNTIF(Vertices[Degree],"&gt;= "&amp;D19)-COUNTIF(Vertices[Degree],"&gt;="&amp;D20)</f>
        <v>0</v>
      </c>
      <c r="F19" s="36">
        <f t="shared" si="2"/>
        <v>2.4999999999999996</v>
      </c>
      <c r="G19" s="37">
        <f>COUNTIF(Vertices[In-Degree],"&gt;= "&amp;F19)-COUNTIF(Vertices[In-Degree],"&gt;="&amp;F20)</f>
        <v>0</v>
      </c>
      <c r="H19" s="36">
        <f t="shared" si="3"/>
        <v>2</v>
      </c>
      <c r="I19" s="37">
        <f>COUNTIF(Vertices[Out-Degree],"&gt;= "&amp;H19)-COUNTIF(Vertices[Out-Degree],"&gt;="&amp;H20)</f>
        <v>3</v>
      </c>
      <c r="J19" s="36">
        <f t="shared" si="4"/>
        <v>34.1666665</v>
      </c>
      <c r="K19" s="37">
        <f>COUNTIF(Vertices[Betweenness Centrality],"&gt;= "&amp;J19)-COUNTIF(Vertices[Betweenness Centrality],"&gt;="&amp;J20)</f>
        <v>0</v>
      </c>
      <c r="L19" s="36">
        <f t="shared" si="5"/>
        <v>0.18416700000000003</v>
      </c>
      <c r="M19" s="37">
        <f>COUNTIF(Vertices[Closeness Centrality],"&gt;= "&amp;L19)-COUNTIF(Vertices[Closeness Centrality],"&gt;="&amp;L20)</f>
        <v>1</v>
      </c>
      <c r="N19" s="36">
        <f t="shared" si="6"/>
        <v>0.23062199999999994</v>
      </c>
      <c r="O19" s="37">
        <f>COUNTIF(Vertices[Eigenvector Centrality],"&gt;= "&amp;N19)-COUNTIF(Vertices[Eigenvector Centrality],"&gt;="&amp;N20)</f>
        <v>1</v>
      </c>
      <c r="P19" s="36">
        <f t="shared" si="7"/>
        <v>0.04205749999999996</v>
      </c>
      <c r="Q19" s="37">
        <f>COUNTIF(Vertices[PageRank],"&gt;= "&amp;P19)-COUNTIF(Vertices[PageRank],"&gt;="&amp;P20)</f>
        <v>1</v>
      </c>
      <c r="R19" s="36">
        <f t="shared" si="8"/>
        <v>0.25</v>
      </c>
      <c r="S19" s="41">
        <f>COUNTIF(Vertices[Clustering Coefficient],"&gt;= "&amp;R19)-COUNTIF(Vertices[Clustering Coefficient],"&gt;="&amp;R20)</f>
        <v>0</v>
      </c>
      <c r="T19" s="36" t="e">
        <f ca="1" t="shared" si="9"/>
        <v>#REF!</v>
      </c>
      <c r="U19" s="37" t="e">
        <f ca="1" t="shared" si="0"/>
        <v>#REF!</v>
      </c>
    </row>
    <row r="20" spans="1:21" ht="15">
      <c r="A20" s="31" t="s">
        <v>157</v>
      </c>
      <c r="B20" s="31">
        <v>6</v>
      </c>
      <c r="D20" s="29">
        <f t="shared" si="1"/>
        <v>0</v>
      </c>
      <c r="E20">
        <f>COUNTIF(Vertices[Degree],"&gt;= "&amp;D20)-COUNTIF(Vertices[Degree],"&gt;="&amp;D21)</f>
        <v>0</v>
      </c>
      <c r="F20" s="34">
        <f t="shared" si="2"/>
        <v>2.6470588235294112</v>
      </c>
      <c r="G20" s="35">
        <f>COUNTIF(Vertices[In-Degree],"&gt;= "&amp;F20)-COUNTIF(Vertices[In-Degree],"&gt;="&amp;F21)</f>
        <v>0</v>
      </c>
      <c r="H20" s="34">
        <f t="shared" si="3"/>
        <v>2.1176470588235294</v>
      </c>
      <c r="I20" s="35">
        <f>COUNTIF(Vertices[Out-Degree],"&gt;= "&amp;H20)-COUNTIF(Vertices[Out-Degree],"&gt;="&amp;H21)</f>
        <v>0</v>
      </c>
      <c r="J20" s="34">
        <f t="shared" si="4"/>
        <v>36.176470411764704</v>
      </c>
      <c r="K20" s="35">
        <f>COUNTIF(Vertices[Betweenness Centrality],"&gt;= "&amp;J20)-COUNTIF(Vertices[Betweenness Centrality],"&gt;="&amp;J21)</f>
        <v>0</v>
      </c>
      <c r="L20" s="34">
        <f t="shared" si="5"/>
        <v>0.1925493529411765</v>
      </c>
      <c r="M20" s="35">
        <f>COUNTIF(Vertices[Closeness Centrality],"&gt;= "&amp;L20)-COUNTIF(Vertices[Closeness Centrality],"&gt;="&amp;L21)</f>
        <v>1</v>
      </c>
      <c r="N20" s="34">
        <f t="shared" si="6"/>
        <v>0.24418799999999993</v>
      </c>
      <c r="O20" s="35">
        <f>COUNTIF(Vertices[Eigenvector Centrality],"&gt;= "&amp;N20)-COUNTIF(Vertices[Eigenvector Centrality],"&gt;="&amp;N21)</f>
        <v>0</v>
      </c>
      <c r="P20" s="34">
        <f t="shared" si="7"/>
        <v>0.04245952941176467</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158</v>
      </c>
      <c r="B21" s="31">
        <v>2.155102</v>
      </c>
      <c r="D21" s="29">
        <f t="shared" si="1"/>
        <v>0</v>
      </c>
      <c r="E21">
        <f>COUNTIF(Vertices[Degree],"&gt;= "&amp;D21)-COUNTIF(Vertices[Degree],"&gt;="&amp;D22)</f>
        <v>0</v>
      </c>
      <c r="F21" s="36">
        <f t="shared" si="2"/>
        <v>2.794117647058823</v>
      </c>
      <c r="G21" s="37">
        <f>COUNTIF(Vertices[In-Degree],"&gt;= "&amp;F21)-COUNTIF(Vertices[In-Degree],"&gt;="&amp;F22)</f>
        <v>0</v>
      </c>
      <c r="H21" s="36">
        <f t="shared" si="3"/>
        <v>2.235294117647059</v>
      </c>
      <c r="I21" s="37">
        <f>COUNTIF(Vertices[Out-Degree],"&gt;= "&amp;H21)-COUNTIF(Vertices[Out-Degree],"&gt;="&amp;H22)</f>
        <v>0</v>
      </c>
      <c r="J21" s="36">
        <f t="shared" si="4"/>
        <v>38.18627432352941</v>
      </c>
      <c r="K21" s="37">
        <f>COUNTIF(Vertices[Betweenness Centrality],"&gt;= "&amp;J21)-COUNTIF(Vertices[Betweenness Centrality],"&gt;="&amp;J22)</f>
        <v>0</v>
      </c>
      <c r="L21" s="36">
        <f t="shared" si="5"/>
        <v>0.20093170588235298</v>
      </c>
      <c r="M21" s="37">
        <f>COUNTIF(Vertices[Closeness Centrality],"&gt;= "&amp;L21)-COUNTIF(Vertices[Closeness Centrality],"&gt;="&amp;L22)</f>
        <v>0</v>
      </c>
      <c r="N21" s="36">
        <f t="shared" si="6"/>
        <v>0.2577539999999999</v>
      </c>
      <c r="O21" s="37">
        <f>COUNTIF(Vertices[Eigenvector Centrality],"&gt;= "&amp;N21)-COUNTIF(Vertices[Eigenvector Centrality],"&gt;="&amp;N22)</f>
        <v>0</v>
      </c>
      <c r="P21" s="36">
        <f t="shared" si="7"/>
        <v>0.04286155882352937</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93"/>
      <c r="B22" s="93"/>
      <c r="D22" s="29">
        <f t="shared" si="1"/>
        <v>0</v>
      </c>
      <c r="E22">
        <f>COUNTIF(Vertices[Degree],"&gt;= "&amp;D22)-COUNTIF(Vertices[Degree],"&gt;="&amp;D23)</f>
        <v>0</v>
      </c>
      <c r="F22" s="34">
        <f t="shared" si="2"/>
        <v>2.9411764705882346</v>
      </c>
      <c r="G22" s="35">
        <f>COUNTIF(Vertices[In-Degree],"&gt;= "&amp;F22)-COUNTIF(Vertices[In-Degree],"&gt;="&amp;F23)</f>
        <v>2</v>
      </c>
      <c r="H22" s="34">
        <f t="shared" si="3"/>
        <v>2.3529411764705883</v>
      </c>
      <c r="I22" s="35">
        <f>COUNTIF(Vertices[Out-Degree],"&gt;= "&amp;H22)-COUNTIF(Vertices[Out-Degree],"&gt;="&amp;H23)</f>
        <v>0</v>
      </c>
      <c r="J22" s="34">
        <f t="shared" si="4"/>
        <v>40.19607823529412</v>
      </c>
      <c r="K22" s="35">
        <f>COUNTIF(Vertices[Betweenness Centrality],"&gt;= "&amp;J22)-COUNTIF(Vertices[Betweenness Centrality],"&gt;="&amp;J23)</f>
        <v>0</v>
      </c>
      <c r="L22" s="34">
        <f t="shared" si="5"/>
        <v>0.20931405882352946</v>
      </c>
      <c r="M22" s="35">
        <f>COUNTIF(Vertices[Closeness Centrality],"&gt;= "&amp;L22)-COUNTIF(Vertices[Closeness Centrality],"&gt;="&amp;L23)</f>
        <v>1</v>
      </c>
      <c r="N22" s="34">
        <f t="shared" si="6"/>
        <v>0.27131999999999995</v>
      </c>
      <c r="O22" s="35">
        <f>COUNTIF(Vertices[Eigenvector Centrality],"&gt;= "&amp;N22)-COUNTIF(Vertices[Eigenvector Centrality],"&gt;="&amp;N23)</f>
        <v>1</v>
      </c>
      <c r="P22" s="34">
        <f t="shared" si="7"/>
        <v>0.043263588235294075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159</v>
      </c>
      <c r="B23" s="31">
        <v>0.045</v>
      </c>
      <c r="D23" s="29">
        <f t="shared" si="1"/>
        <v>0</v>
      </c>
      <c r="E23">
        <f>COUNTIF(Vertices[Degree],"&gt;= "&amp;D23)-COUNTIF(Vertices[Degree],"&gt;="&amp;D24)</f>
        <v>0</v>
      </c>
      <c r="F23" s="36">
        <f t="shared" si="2"/>
        <v>3.0882352941176463</v>
      </c>
      <c r="G23" s="37">
        <f>COUNTIF(Vertices[In-Degree],"&gt;= "&amp;F23)-COUNTIF(Vertices[In-Degree],"&gt;="&amp;F24)</f>
        <v>0</v>
      </c>
      <c r="H23" s="36">
        <f t="shared" si="3"/>
        <v>2.4705882352941178</v>
      </c>
      <c r="I23" s="37">
        <f>COUNTIF(Vertices[Out-Degree],"&gt;= "&amp;H23)-COUNTIF(Vertices[Out-Degree],"&gt;="&amp;H24)</f>
        <v>0</v>
      </c>
      <c r="J23" s="36">
        <f t="shared" si="4"/>
        <v>42.20588214705882</v>
      </c>
      <c r="K23" s="37">
        <f>COUNTIF(Vertices[Betweenness Centrality],"&gt;= "&amp;J23)-COUNTIF(Vertices[Betweenness Centrality],"&gt;="&amp;J24)</f>
        <v>0</v>
      </c>
      <c r="L23" s="36">
        <f t="shared" si="5"/>
        <v>0.21769641176470594</v>
      </c>
      <c r="M23" s="37">
        <f>COUNTIF(Vertices[Closeness Centrality],"&gt;= "&amp;L23)-COUNTIF(Vertices[Closeness Centrality],"&gt;="&amp;L24)</f>
        <v>0</v>
      </c>
      <c r="N23" s="36">
        <f t="shared" si="6"/>
        <v>0.284886</v>
      </c>
      <c r="O23" s="37">
        <f>COUNTIF(Vertices[Eigenvector Centrality],"&gt;= "&amp;N23)-COUNTIF(Vertices[Eigenvector Centrality],"&gt;="&amp;N24)</f>
        <v>0</v>
      </c>
      <c r="P23" s="36">
        <f t="shared" si="7"/>
        <v>0.04366561764705878</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372</v>
      </c>
      <c r="B24" s="31">
        <v>0.493827</v>
      </c>
      <c r="D24" s="29">
        <f t="shared" si="1"/>
        <v>0</v>
      </c>
      <c r="E24">
        <f>COUNTIF(Vertices[Degree],"&gt;= "&amp;D24)-COUNTIF(Vertices[Degree],"&gt;="&amp;D25)</f>
        <v>0</v>
      </c>
      <c r="F24" s="34">
        <f t="shared" si="2"/>
        <v>3.235294117647058</v>
      </c>
      <c r="G24" s="35">
        <f>COUNTIF(Vertices[In-Degree],"&gt;= "&amp;F24)-COUNTIF(Vertices[In-Degree],"&gt;="&amp;F25)</f>
        <v>0</v>
      </c>
      <c r="H24" s="34">
        <f t="shared" si="3"/>
        <v>2.588235294117647</v>
      </c>
      <c r="I24" s="35">
        <f>COUNTIF(Vertices[Out-Degree],"&gt;= "&amp;H24)-COUNTIF(Vertices[Out-Degree],"&gt;="&amp;H25)</f>
        <v>0</v>
      </c>
      <c r="J24" s="34">
        <f t="shared" si="4"/>
        <v>44.21568605882353</v>
      </c>
      <c r="K24" s="35">
        <f>COUNTIF(Vertices[Betweenness Centrality],"&gt;= "&amp;J24)-COUNTIF(Vertices[Betweenness Centrality],"&gt;="&amp;J25)</f>
        <v>0</v>
      </c>
      <c r="L24" s="34">
        <f t="shared" si="5"/>
        <v>0.22607876470588242</v>
      </c>
      <c r="M24" s="35">
        <f>COUNTIF(Vertices[Closeness Centrality],"&gt;= "&amp;L24)-COUNTIF(Vertices[Closeness Centrality],"&gt;="&amp;L25)</f>
        <v>4</v>
      </c>
      <c r="N24" s="34">
        <f t="shared" si="6"/>
        <v>0.298452</v>
      </c>
      <c r="O24" s="35">
        <f>COUNTIF(Vertices[Eigenvector Centrality],"&gt;= "&amp;N24)-COUNTIF(Vertices[Eigenvector Centrality],"&gt;="&amp;N25)</f>
        <v>0</v>
      </c>
      <c r="P24" s="34">
        <f t="shared" si="7"/>
        <v>0.04406764705882348</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93"/>
      <c r="B25" s="93"/>
      <c r="D25" s="29">
        <f t="shared" si="1"/>
        <v>0</v>
      </c>
      <c r="E25">
        <f>COUNTIF(Vertices[Degree],"&gt;= "&amp;D25)-COUNTIF(Vertices[Degree],"&gt;="&amp;D26)</f>
        <v>0</v>
      </c>
      <c r="F25" s="36">
        <f t="shared" si="2"/>
        <v>3.3823529411764697</v>
      </c>
      <c r="G25" s="37">
        <f>COUNTIF(Vertices[In-Degree],"&gt;= "&amp;F25)-COUNTIF(Vertices[In-Degree],"&gt;="&amp;F26)</f>
        <v>0</v>
      </c>
      <c r="H25" s="36">
        <f t="shared" si="3"/>
        <v>2.7058823529411766</v>
      </c>
      <c r="I25" s="37">
        <f>COUNTIF(Vertices[Out-Degree],"&gt;= "&amp;H25)-COUNTIF(Vertices[Out-Degree],"&gt;="&amp;H26)</f>
        <v>0</v>
      </c>
      <c r="J25" s="36">
        <f t="shared" si="4"/>
        <v>46.225489970588235</v>
      </c>
      <c r="K25" s="37">
        <f>COUNTIF(Vertices[Betweenness Centrality],"&gt;= "&amp;J25)-COUNTIF(Vertices[Betweenness Centrality],"&gt;="&amp;J26)</f>
        <v>0</v>
      </c>
      <c r="L25" s="36">
        <f t="shared" si="5"/>
        <v>0.2344611176470589</v>
      </c>
      <c r="M25" s="37">
        <f>COUNTIF(Vertices[Closeness Centrality],"&gt;= "&amp;L25)-COUNTIF(Vertices[Closeness Centrality],"&gt;="&amp;L26)</f>
        <v>1</v>
      </c>
      <c r="N25" s="36">
        <f t="shared" si="6"/>
        <v>0.312018</v>
      </c>
      <c r="O25" s="37">
        <f>COUNTIF(Vertices[Eigenvector Centrality],"&gt;= "&amp;N25)-COUNTIF(Vertices[Eigenvector Centrality],"&gt;="&amp;N26)</f>
        <v>0</v>
      </c>
      <c r="P25" s="36">
        <f t="shared" si="7"/>
        <v>0.044469676470588186</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373</v>
      </c>
      <c r="B26" s="31" t="s">
        <v>388</v>
      </c>
      <c r="D26" s="29">
        <f t="shared" si="1"/>
        <v>0</v>
      </c>
      <c r="E26">
        <f>COUNTIF(Vertices[Degree],"&gt;= "&amp;D26)-COUNTIF(Vertices[Degree],"&gt;="&amp;D27)</f>
        <v>0</v>
      </c>
      <c r="F26" s="34">
        <f t="shared" si="2"/>
        <v>3.5294117647058814</v>
      </c>
      <c r="G26" s="35">
        <f>COUNTIF(Vertices[In-Degree],"&gt;= "&amp;F26)-COUNTIF(Vertices[In-Degree],"&gt;="&amp;F27)</f>
        <v>0</v>
      </c>
      <c r="H26" s="34">
        <f t="shared" si="3"/>
        <v>2.823529411764706</v>
      </c>
      <c r="I26" s="35">
        <f>COUNTIF(Vertices[Out-Degree],"&gt;= "&amp;H26)-COUNTIF(Vertices[Out-Degree],"&gt;="&amp;H27)</f>
        <v>0</v>
      </c>
      <c r="J26" s="34">
        <f t="shared" si="4"/>
        <v>48.23529388235294</v>
      </c>
      <c r="K26" s="35">
        <f>COUNTIF(Vertices[Betweenness Centrality],"&gt;= "&amp;J26)-COUNTIF(Vertices[Betweenness Centrality],"&gt;="&amp;J27)</f>
        <v>0</v>
      </c>
      <c r="L26" s="34">
        <f t="shared" si="5"/>
        <v>0.24284347058823538</v>
      </c>
      <c r="M26" s="35">
        <f>COUNTIF(Vertices[Closeness Centrality],"&gt;= "&amp;L26)-COUNTIF(Vertices[Closeness Centrality],"&gt;="&amp;L27)</f>
        <v>0</v>
      </c>
      <c r="N26" s="34">
        <f t="shared" si="6"/>
        <v>0.32558400000000004</v>
      </c>
      <c r="O26" s="35">
        <f>COUNTIF(Vertices[Eigenvector Centrality],"&gt;= "&amp;N26)-COUNTIF(Vertices[Eigenvector Centrality],"&gt;="&amp;N27)</f>
        <v>0</v>
      </c>
      <c r="P26" s="34">
        <f t="shared" si="7"/>
        <v>0.04487170588235289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3"/>
      <c r="B27" s="93"/>
      <c r="D27" s="29">
        <f t="shared" si="1"/>
        <v>0</v>
      </c>
      <c r="E27">
        <f>COUNTIF(Vertices[Degree],"&gt;= "&amp;D27)-COUNTIF(Vertices[Degree],"&gt;="&amp;D28)</f>
        <v>0</v>
      </c>
      <c r="F27" s="36">
        <f t="shared" si="2"/>
        <v>3.676470588235293</v>
      </c>
      <c r="G27" s="37">
        <f>COUNTIF(Vertices[In-Degree],"&gt;= "&amp;F27)-COUNTIF(Vertices[In-Degree],"&gt;="&amp;F28)</f>
        <v>0</v>
      </c>
      <c r="H27" s="36">
        <f t="shared" si="3"/>
        <v>2.9411764705882355</v>
      </c>
      <c r="I27" s="37">
        <f>COUNTIF(Vertices[Out-Degree],"&gt;= "&amp;H27)-COUNTIF(Vertices[Out-Degree],"&gt;="&amp;H28)</f>
        <v>1</v>
      </c>
      <c r="J27" s="36">
        <f t="shared" si="4"/>
        <v>50.24509779411765</v>
      </c>
      <c r="K27" s="37">
        <f>COUNTIF(Vertices[Betweenness Centrality],"&gt;= "&amp;J27)-COUNTIF(Vertices[Betweenness Centrality],"&gt;="&amp;J28)</f>
        <v>1</v>
      </c>
      <c r="L27" s="36">
        <f t="shared" si="5"/>
        <v>0.25122582352941186</v>
      </c>
      <c r="M27" s="37">
        <f>COUNTIF(Vertices[Closeness Centrality],"&gt;= "&amp;L27)-COUNTIF(Vertices[Closeness Centrality],"&gt;="&amp;L28)</f>
        <v>0</v>
      </c>
      <c r="N27" s="36">
        <f t="shared" si="6"/>
        <v>0.33915000000000006</v>
      </c>
      <c r="O27" s="37">
        <f>COUNTIF(Vertices[Eigenvector Centrality],"&gt;= "&amp;N27)-COUNTIF(Vertices[Eigenvector Centrality],"&gt;="&amp;N28)</f>
        <v>0</v>
      </c>
      <c r="P27" s="36">
        <f t="shared" si="7"/>
        <v>0.045273735294117594</v>
      </c>
      <c r="Q27" s="37">
        <f>COUNTIF(Vertices[PageRank],"&gt;= "&amp;P27)-COUNTIF(Vertices[PageRank],"&gt;="&amp;P28)</f>
        <v>1</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374</v>
      </c>
      <c r="B28" s="31" t="s">
        <v>423</v>
      </c>
      <c r="D28" s="29">
        <f t="shared" si="1"/>
        <v>0</v>
      </c>
      <c r="E28">
        <f>COUNTIF(Vertices[Degree],"&gt;= "&amp;D28)-COUNTIF(Vertices[Degree],"&gt;="&amp;D29)</f>
        <v>0</v>
      </c>
      <c r="F28" s="34">
        <f t="shared" si="2"/>
        <v>3.8235294117647047</v>
      </c>
      <c r="G28" s="35">
        <f>COUNTIF(Vertices[In-Degree],"&gt;= "&amp;F28)-COUNTIF(Vertices[In-Degree],"&gt;="&amp;F29)</f>
        <v>0</v>
      </c>
      <c r="H28" s="34">
        <f t="shared" si="3"/>
        <v>3.058823529411765</v>
      </c>
      <c r="I28" s="35">
        <f>COUNTIF(Vertices[Out-Degree],"&gt;= "&amp;H28)-COUNTIF(Vertices[Out-Degree],"&gt;="&amp;H29)</f>
        <v>0</v>
      </c>
      <c r="J28" s="34">
        <f t="shared" si="4"/>
        <v>52.254901705882354</v>
      </c>
      <c r="K28" s="35">
        <f>COUNTIF(Vertices[Betweenness Centrality],"&gt;= "&amp;J28)-COUNTIF(Vertices[Betweenness Centrality],"&gt;="&amp;J29)</f>
        <v>0</v>
      </c>
      <c r="L28" s="34">
        <f t="shared" si="5"/>
        <v>0.2596081764705883</v>
      </c>
      <c r="M28" s="35">
        <f>COUNTIF(Vertices[Closeness Centrality],"&gt;= "&amp;L28)-COUNTIF(Vertices[Closeness Centrality],"&gt;="&amp;L29)</f>
        <v>1</v>
      </c>
      <c r="N28" s="34">
        <f t="shared" si="6"/>
        <v>0.3527160000000001</v>
      </c>
      <c r="O28" s="35">
        <f>COUNTIF(Vertices[Eigenvector Centrality],"&gt;= "&amp;N28)-COUNTIF(Vertices[Eigenvector Centrality],"&gt;="&amp;N29)</f>
        <v>0</v>
      </c>
      <c r="P28" s="34">
        <f t="shared" si="7"/>
        <v>0.0456757647058823</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375</v>
      </c>
      <c r="B29" s="31" t="s">
        <v>424</v>
      </c>
      <c r="D29" s="29">
        <f t="shared" si="1"/>
        <v>0</v>
      </c>
      <c r="E29">
        <f>COUNTIF(Vertices[Degree],"&gt;= "&amp;D29)-COUNTIF(Vertices[Degree],"&gt;="&amp;D30)</f>
        <v>0</v>
      </c>
      <c r="F29" s="36">
        <f t="shared" si="2"/>
        <v>3.9705882352941164</v>
      </c>
      <c r="G29" s="37">
        <f>COUNTIF(Vertices[In-Degree],"&gt;= "&amp;F29)-COUNTIF(Vertices[In-Degree],"&gt;="&amp;F30)</f>
        <v>0</v>
      </c>
      <c r="H29" s="36">
        <f t="shared" si="3"/>
        <v>3.1764705882352944</v>
      </c>
      <c r="I29" s="37">
        <f>COUNTIF(Vertices[Out-Degree],"&gt;= "&amp;H29)-COUNTIF(Vertices[Out-Degree],"&gt;="&amp;H30)</f>
        <v>0</v>
      </c>
      <c r="J29" s="36">
        <f t="shared" si="4"/>
        <v>54.26470561764706</v>
      </c>
      <c r="K29" s="37">
        <f>COUNTIF(Vertices[Betweenness Centrality],"&gt;= "&amp;J29)-COUNTIF(Vertices[Betweenness Centrality],"&gt;="&amp;J30)</f>
        <v>1</v>
      </c>
      <c r="L29" s="36">
        <f t="shared" si="5"/>
        <v>0.26799052941176477</v>
      </c>
      <c r="M29" s="37">
        <f>COUNTIF(Vertices[Closeness Centrality],"&gt;= "&amp;L29)-COUNTIF(Vertices[Closeness Centrality],"&gt;="&amp;L30)</f>
        <v>1</v>
      </c>
      <c r="N29" s="36">
        <f t="shared" si="6"/>
        <v>0.3662820000000001</v>
      </c>
      <c r="O29" s="37">
        <f>COUNTIF(Vertices[Eigenvector Centrality],"&gt;= "&amp;N29)-COUNTIF(Vertices[Eigenvector Centrality],"&gt;="&amp;N30)</f>
        <v>0</v>
      </c>
      <c r="P29" s="36">
        <f t="shared" si="7"/>
        <v>0.046077794117647</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93"/>
      <c r="B30" s="93"/>
      <c r="D30" s="29">
        <f t="shared" si="1"/>
        <v>0</v>
      </c>
      <c r="E30">
        <f>COUNTIF(Vertices[Degree],"&gt;= "&amp;D30)-COUNTIF(Vertices[Degree],"&gt;="&amp;D31)</f>
        <v>0</v>
      </c>
      <c r="F30" s="34">
        <f t="shared" si="2"/>
        <v>4.117647058823528</v>
      </c>
      <c r="G30" s="35">
        <f>COUNTIF(Vertices[In-Degree],"&gt;= "&amp;F30)-COUNTIF(Vertices[In-Degree],"&gt;="&amp;F31)</f>
        <v>0</v>
      </c>
      <c r="H30" s="34">
        <f t="shared" si="3"/>
        <v>3.294117647058824</v>
      </c>
      <c r="I30" s="35">
        <f>COUNTIF(Vertices[Out-Degree],"&gt;= "&amp;H30)-COUNTIF(Vertices[Out-Degree],"&gt;="&amp;H31)</f>
        <v>0</v>
      </c>
      <c r="J30" s="34">
        <f t="shared" si="4"/>
        <v>56.274509529411766</v>
      </c>
      <c r="K30" s="35">
        <f>COUNTIF(Vertices[Betweenness Centrality],"&gt;= "&amp;J30)-COUNTIF(Vertices[Betweenness Centrality],"&gt;="&amp;J31)</f>
        <v>1</v>
      </c>
      <c r="L30" s="34">
        <f t="shared" si="5"/>
        <v>0.2763728823529412</v>
      </c>
      <c r="M30" s="35">
        <f>COUNTIF(Vertices[Closeness Centrality],"&gt;= "&amp;L30)-COUNTIF(Vertices[Closeness Centrality],"&gt;="&amp;L31)</f>
        <v>0</v>
      </c>
      <c r="N30" s="34">
        <f t="shared" si="6"/>
        <v>0.37984800000000013</v>
      </c>
      <c r="O30" s="35">
        <f>COUNTIF(Vertices[Eigenvector Centrality],"&gt;= "&amp;N30)-COUNTIF(Vertices[Eigenvector Centrality],"&gt;="&amp;N31)</f>
        <v>0</v>
      </c>
      <c r="P30" s="34">
        <f t="shared" si="7"/>
        <v>0.046479823529411705</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376</v>
      </c>
      <c r="B31" s="31"/>
      <c r="D31" s="29">
        <f t="shared" si="1"/>
        <v>0</v>
      </c>
      <c r="E31">
        <f>COUNTIF(Vertices[Degree],"&gt;= "&amp;D31)-COUNTIF(Vertices[Degree],"&gt;="&amp;D32)</f>
        <v>0</v>
      </c>
      <c r="F31" s="36">
        <f t="shared" si="2"/>
        <v>4.26470588235294</v>
      </c>
      <c r="G31" s="37">
        <f>COUNTIF(Vertices[In-Degree],"&gt;= "&amp;F31)-COUNTIF(Vertices[In-Degree],"&gt;="&amp;F32)</f>
        <v>0</v>
      </c>
      <c r="H31" s="36">
        <f t="shared" si="3"/>
        <v>3.4117647058823533</v>
      </c>
      <c r="I31" s="37">
        <f>COUNTIF(Vertices[Out-Degree],"&gt;= "&amp;H31)-COUNTIF(Vertices[Out-Degree],"&gt;="&amp;H32)</f>
        <v>0</v>
      </c>
      <c r="J31" s="36">
        <f t="shared" si="4"/>
        <v>58.28431344117647</v>
      </c>
      <c r="K31" s="37">
        <f>COUNTIF(Vertices[Betweenness Centrality],"&gt;= "&amp;J31)-COUNTIF(Vertices[Betweenness Centrality],"&gt;="&amp;J32)</f>
        <v>0</v>
      </c>
      <c r="L31" s="36">
        <f t="shared" si="5"/>
        <v>0.28475523529411767</v>
      </c>
      <c r="M31" s="37">
        <f>COUNTIF(Vertices[Closeness Centrality],"&gt;= "&amp;L31)-COUNTIF(Vertices[Closeness Centrality],"&gt;="&amp;L32)</f>
        <v>1</v>
      </c>
      <c r="N31" s="36">
        <f t="shared" si="6"/>
        <v>0.39341400000000015</v>
      </c>
      <c r="O31" s="37">
        <f>COUNTIF(Vertices[Eigenvector Centrality],"&gt;= "&amp;N31)-COUNTIF(Vertices[Eigenvector Centrality],"&gt;="&amp;N32)</f>
        <v>1</v>
      </c>
      <c r="P31" s="36">
        <f t="shared" si="7"/>
        <v>0.04688185294117641</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377</v>
      </c>
      <c r="B32" s="31"/>
      <c r="D32" s="29">
        <f t="shared" si="1"/>
        <v>0</v>
      </c>
      <c r="E32">
        <f>COUNTIF(Vertices[Degree],"&gt;= "&amp;D32)-COUNTIF(Vertices[Degree],"&gt;="&amp;D33)</f>
        <v>0</v>
      </c>
      <c r="F32" s="34">
        <f t="shared" si="2"/>
        <v>4.411764705882352</v>
      </c>
      <c r="G32" s="35">
        <f>COUNTIF(Vertices[In-Degree],"&gt;= "&amp;F32)-COUNTIF(Vertices[In-Degree],"&gt;="&amp;F33)</f>
        <v>0</v>
      </c>
      <c r="H32" s="34">
        <f t="shared" si="3"/>
        <v>3.5294117647058827</v>
      </c>
      <c r="I32" s="35">
        <f>COUNTIF(Vertices[Out-Degree],"&gt;= "&amp;H32)-COUNTIF(Vertices[Out-Degree],"&gt;="&amp;H33)</f>
        <v>0</v>
      </c>
      <c r="J32" s="34">
        <f t="shared" si="4"/>
        <v>60.29411735294118</v>
      </c>
      <c r="K32" s="35">
        <f>COUNTIF(Vertices[Betweenness Centrality],"&gt;= "&amp;J32)-COUNTIF(Vertices[Betweenness Centrality],"&gt;="&amp;J33)</f>
        <v>0</v>
      </c>
      <c r="L32" s="34">
        <f t="shared" si="5"/>
        <v>0.2931375882352941</v>
      </c>
      <c r="M32" s="35">
        <f>COUNTIF(Vertices[Closeness Centrality],"&gt;= "&amp;L32)-COUNTIF(Vertices[Closeness Centrality],"&gt;="&amp;L33)</f>
        <v>0</v>
      </c>
      <c r="N32" s="34">
        <f t="shared" si="6"/>
        <v>0.4069800000000002</v>
      </c>
      <c r="O32" s="35">
        <f>COUNTIF(Vertices[Eigenvector Centrality],"&gt;= "&amp;N32)-COUNTIF(Vertices[Eigenvector Centrality],"&gt;="&amp;N33)</f>
        <v>0</v>
      </c>
      <c r="P32" s="34">
        <f t="shared" si="7"/>
        <v>0.04728388235294111</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378</v>
      </c>
      <c r="B33" s="31"/>
      <c r="D33" s="29">
        <f t="shared" si="1"/>
        <v>0</v>
      </c>
      <c r="E33">
        <f>COUNTIF(Vertices[Degree],"&gt;= "&amp;D33)-COUNTIF(Vertices[Degree],"&gt;="&amp;D34)</f>
        <v>0</v>
      </c>
      <c r="F33" s="36">
        <f t="shared" si="2"/>
        <v>4.5588235294117645</v>
      </c>
      <c r="G33" s="37">
        <f>COUNTIF(Vertices[In-Degree],"&gt;= "&amp;F33)-COUNTIF(Vertices[In-Degree],"&gt;="&amp;F34)</f>
        <v>0</v>
      </c>
      <c r="H33" s="36">
        <f t="shared" si="3"/>
        <v>3.647058823529412</v>
      </c>
      <c r="I33" s="37">
        <f>COUNTIF(Vertices[Out-Degree],"&gt;= "&amp;H33)-COUNTIF(Vertices[Out-Degree],"&gt;="&amp;H34)</f>
        <v>0</v>
      </c>
      <c r="J33" s="36">
        <f t="shared" si="4"/>
        <v>62.303921264705885</v>
      </c>
      <c r="K33" s="37">
        <f>COUNTIF(Vertices[Betweenness Centrality],"&gt;= "&amp;J33)-COUNTIF(Vertices[Betweenness Centrality],"&gt;="&amp;J34)</f>
        <v>0</v>
      </c>
      <c r="L33" s="36">
        <f t="shared" si="5"/>
        <v>0.3015199411764706</v>
      </c>
      <c r="M33" s="37">
        <f>COUNTIF(Vertices[Closeness Centrality],"&gt;= "&amp;L33)-COUNTIF(Vertices[Closeness Centrality],"&gt;="&amp;L34)</f>
        <v>0</v>
      </c>
      <c r="N33" s="36">
        <f t="shared" si="6"/>
        <v>0.4205460000000002</v>
      </c>
      <c r="O33" s="37">
        <f>COUNTIF(Vertices[Eigenvector Centrality],"&gt;= "&amp;N33)-COUNTIF(Vertices[Eigenvector Centrality],"&gt;="&amp;N34)</f>
        <v>2</v>
      </c>
      <c r="P33" s="36">
        <f t="shared" si="7"/>
        <v>0.04768591176470582</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379</v>
      </c>
      <c r="B34" s="31" t="s">
        <v>422</v>
      </c>
      <c r="D34" s="29">
        <f t="shared" si="1"/>
        <v>0</v>
      </c>
      <c r="E34">
        <f>COUNTIF(Vertices[Degree],"&gt;= "&amp;D34)-COUNTIF(Vertices[Degree],"&gt;="&amp;D35)</f>
        <v>0</v>
      </c>
      <c r="F34" s="34">
        <f t="shared" si="2"/>
        <v>4.705882352941177</v>
      </c>
      <c r="G34" s="35">
        <f>COUNTIF(Vertices[In-Degree],"&gt;= "&amp;F34)-COUNTIF(Vertices[In-Degree],"&gt;="&amp;F35)</f>
        <v>0</v>
      </c>
      <c r="H34" s="34">
        <f t="shared" si="3"/>
        <v>3.7647058823529416</v>
      </c>
      <c r="I34" s="35">
        <f>COUNTIF(Vertices[Out-Degree],"&gt;= "&amp;H34)-COUNTIF(Vertices[Out-Degree],"&gt;="&amp;H35)</f>
        <v>0</v>
      </c>
      <c r="J34" s="34">
        <f t="shared" si="4"/>
        <v>64.31372517647058</v>
      </c>
      <c r="K34" s="35">
        <f>COUNTIF(Vertices[Betweenness Centrality],"&gt;= "&amp;J34)-COUNTIF(Vertices[Betweenness Centrality],"&gt;="&amp;J35)</f>
        <v>0</v>
      </c>
      <c r="L34" s="34">
        <f t="shared" si="5"/>
        <v>0.309902294117647</v>
      </c>
      <c r="M34" s="35">
        <f>COUNTIF(Vertices[Closeness Centrality],"&gt;= "&amp;L34)-COUNTIF(Vertices[Closeness Centrality],"&gt;="&amp;L35)</f>
        <v>0</v>
      </c>
      <c r="N34" s="34">
        <f t="shared" si="6"/>
        <v>0.4341120000000002</v>
      </c>
      <c r="O34" s="35">
        <f>COUNTIF(Vertices[Eigenvector Centrality],"&gt;= "&amp;N34)-COUNTIF(Vertices[Eigenvector Centrality],"&gt;="&amp;N35)</f>
        <v>0</v>
      </c>
      <c r="P34" s="34">
        <f t="shared" si="7"/>
        <v>0.04808794117647052</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380</v>
      </c>
      <c r="B35" s="31" t="s">
        <v>389</v>
      </c>
      <c r="D35" s="29">
        <f t="shared" si="1"/>
        <v>0</v>
      </c>
      <c r="E35">
        <f>COUNTIF(Vertices[Degree],"&gt;= "&amp;D35)-COUNTIF(Vertices[Degree],"&gt;="&amp;D36)</f>
        <v>0</v>
      </c>
      <c r="F35" s="36">
        <f t="shared" si="2"/>
        <v>4.852941176470589</v>
      </c>
      <c r="G35" s="37">
        <f>COUNTIF(Vertices[In-Degree],"&gt;= "&amp;F35)-COUNTIF(Vertices[In-Degree],"&gt;="&amp;F36)</f>
        <v>0</v>
      </c>
      <c r="H35" s="36">
        <f t="shared" si="3"/>
        <v>3.882352941176471</v>
      </c>
      <c r="I35" s="37">
        <f>COUNTIF(Vertices[Out-Degree],"&gt;= "&amp;H35)-COUNTIF(Vertices[Out-Degree],"&gt;="&amp;H36)</f>
        <v>0</v>
      </c>
      <c r="J35" s="36">
        <f t="shared" si="4"/>
        <v>66.32352908823529</v>
      </c>
      <c r="K35" s="37">
        <f>COUNTIF(Vertices[Betweenness Centrality],"&gt;= "&amp;J35)-COUNTIF(Vertices[Betweenness Centrality],"&gt;="&amp;J36)</f>
        <v>0</v>
      </c>
      <c r="L35" s="36">
        <f t="shared" si="5"/>
        <v>0.3182846470588235</v>
      </c>
      <c r="M35" s="37">
        <f>COUNTIF(Vertices[Closeness Centrality],"&gt;= "&amp;L35)-COUNTIF(Vertices[Closeness Centrality],"&gt;="&amp;L36)</f>
        <v>0</v>
      </c>
      <c r="N35" s="36">
        <f t="shared" si="6"/>
        <v>0.44767800000000024</v>
      </c>
      <c r="O35" s="37">
        <f>COUNTIF(Vertices[Eigenvector Centrality],"&gt;= "&amp;N35)-COUNTIF(Vertices[Eigenvector Centrality],"&gt;="&amp;N36)</f>
        <v>0</v>
      </c>
      <c r="P35" s="36">
        <f t="shared" si="7"/>
        <v>0.048489970588235225</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381</v>
      </c>
      <c r="B36" s="31" t="s">
        <v>333</v>
      </c>
      <c r="D36" s="29">
        <f>MAX(Vertices[Degree])</f>
        <v>0</v>
      </c>
      <c r="E36">
        <f>COUNTIF(Vertices[Degree],"&gt;= "&amp;D36)-COUNTIF(Vertices[Degree],"&gt;="&amp;#REF!)</f>
        <v>0</v>
      </c>
      <c r="F36" s="38">
        <f>MAX(Vertices[In-Degree])</f>
        <v>5</v>
      </c>
      <c r="G36" s="39">
        <f>COUNTIF(Vertices[In-Degree],"&gt;= "&amp;F36)-COUNTIF(Vertices[In-Degree],"&gt;="&amp;#REF!)</f>
        <v>1</v>
      </c>
      <c r="H36" s="38">
        <f>MAX(Vertices[Out-Degree])</f>
        <v>4</v>
      </c>
      <c r="I36" s="39">
        <f>COUNTIF(Vertices[Out-Degree],"&gt;= "&amp;H36)-COUNTIF(Vertices[Out-Degree],"&gt;="&amp;#REF!)</f>
        <v>1</v>
      </c>
      <c r="J36" s="38">
        <f>MAX(Vertices[Betweenness Centrality])</f>
        <v>68.333333</v>
      </c>
      <c r="K36" s="39">
        <f>COUNTIF(Vertices[Betweenness Centrality],"&gt;= "&amp;J36)-COUNTIF(Vertices[Betweenness Centrality],"&gt;="&amp;#REF!)</f>
        <v>1</v>
      </c>
      <c r="L36" s="38">
        <f>MAX(Vertices[Closeness Centrality])</f>
        <v>0.326667</v>
      </c>
      <c r="M36" s="39">
        <f>COUNTIF(Vertices[Closeness Centrality],"&gt;= "&amp;L36)-COUNTIF(Vertices[Closeness Centrality],"&gt;="&amp;#REF!)</f>
        <v>3</v>
      </c>
      <c r="N36" s="38">
        <f>MAX(Vertices[Eigenvector Centrality])</f>
        <v>0.461244</v>
      </c>
      <c r="O36" s="39">
        <f>COUNTIF(Vertices[Eigenvector Centrality],"&gt;= "&amp;N36)-COUNTIF(Vertices[Eigenvector Centrality],"&gt;="&amp;#REF!)</f>
        <v>1</v>
      </c>
      <c r="P36" s="38">
        <f>MAX(Vertices[PageRank])</f>
        <v>0.048892</v>
      </c>
      <c r="Q36" s="39">
        <f>COUNTIF(Vertices[PageRank],"&gt;= "&amp;P36)-COUNTIF(Vertices[PageRank],"&gt;="&amp;#REF!)</f>
        <v>1</v>
      </c>
      <c r="R36" s="38">
        <f>MAX(Vertices[Clustering Coefficient])</f>
        <v>0.5</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382</v>
      </c>
      <c r="B37" s="31" t="s">
        <v>333</v>
      </c>
    </row>
    <row r="38" spans="1:2" ht="15">
      <c r="A38" s="31" t="s">
        <v>383</v>
      </c>
      <c r="B38" s="31" t="s">
        <v>333</v>
      </c>
    </row>
    <row r="39" spans="1:2" ht="15">
      <c r="A39" s="31" t="s">
        <v>384</v>
      </c>
      <c r="B39" s="31"/>
    </row>
    <row r="40" spans="1:2" ht="15">
      <c r="A40" s="31" t="s">
        <v>21</v>
      </c>
      <c r="B40" s="31" t="s">
        <v>35</v>
      </c>
    </row>
    <row r="41" spans="1:2" ht="15">
      <c r="A41" s="31" t="s">
        <v>385</v>
      </c>
      <c r="B41" s="31" t="s">
        <v>35</v>
      </c>
    </row>
    <row r="42" spans="1:2" ht="15">
      <c r="A42" s="31" t="s">
        <v>386</v>
      </c>
      <c r="B42" s="31"/>
    </row>
    <row r="43" spans="1:2" ht="15">
      <c r="A43" s="31" t="s">
        <v>387</v>
      </c>
      <c r="B43" s="31"/>
    </row>
    <row r="60" spans="1:2" ht="15">
      <c r="A60" t="s">
        <v>164</v>
      </c>
      <c r="B60" t="s">
        <v>17</v>
      </c>
    </row>
    <row r="61" spans="1:2" ht="15">
      <c r="A61" s="30"/>
      <c r="B61" s="30"/>
    </row>
    <row r="62" spans="1:2" ht="15">
      <c r="A62" s="30"/>
      <c r="B62" s="30"/>
    </row>
    <row r="63" spans="1:2" ht="15">
      <c r="A63" s="30"/>
      <c r="B63" s="30"/>
    </row>
    <row r="74" spans="1:2" ht="15">
      <c r="A74" s="30" t="s">
        <v>82</v>
      </c>
      <c r="B74" s="43" t="str">
        <f>IF(COUNT(Vertices[Degree])&gt;0,D2,NoMetricMessage)</f>
        <v>Not Available</v>
      </c>
    </row>
    <row r="75" spans="1:2" ht="15">
      <c r="A75" s="30" t="s">
        <v>83</v>
      </c>
      <c r="B75" s="43" t="str">
        <f>IF(COUNT(Vertices[Degree])&gt;0,D36,NoMetricMessage)</f>
        <v>Not Available</v>
      </c>
    </row>
    <row r="76" spans="1:2" ht="15">
      <c r="A76" s="30" t="s">
        <v>84</v>
      </c>
      <c r="B76" s="44" t="str">
        <f>_xlfn.IFERROR(AVERAGE(Vertices[Degree]),NoMetricMessage)</f>
        <v>Not Available</v>
      </c>
    </row>
    <row r="77" spans="1:2" ht="15">
      <c r="A77" s="30" t="s">
        <v>85</v>
      </c>
      <c r="B77" s="44" t="str">
        <f>_xlfn.IFERROR(MEDIAN(Vertices[Degree]),NoMetricMessage)</f>
        <v>Not Available</v>
      </c>
    </row>
    <row r="88" spans="1:2" ht="15">
      <c r="A88" s="30" t="s">
        <v>89</v>
      </c>
      <c r="B88" s="43">
        <f>IF(COUNT(Vertices[In-Degree])&gt;0,F2,NoMetricMessage)</f>
        <v>0</v>
      </c>
    </row>
    <row r="89" spans="1:2" ht="15">
      <c r="A89" s="30" t="s">
        <v>90</v>
      </c>
      <c r="B89" s="43">
        <f>IF(COUNT(Vertices[In-Degree])&gt;0,F36,NoMetricMessage)</f>
        <v>5</v>
      </c>
    </row>
    <row r="90" spans="1:2" ht="15">
      <c r="A90" s="30" t="s">
        <v>91</v>
      </c>
      <c r="B90" s="44">
        <f>_xlfn.IFERROR(AVERAGE(Vertices[In-Degree]),NoMetricMessage)</f>
        <v>1.08</v>
      </c>
    </row>
    <row r="91" spans="1:2" ht="15">
      <c r="A91" s="30" t="s">
        <v>92</v>
      </c>
      <c r="B91" s="44">
        <f>_xlfn.IFERROR(MEDIAN(Vertices[In-Degree]),NoMetricMessage)</f>
        <v>1</v>
      </c>
    </row>
    <row r="102" spans="1:2" ht="15">
      <c r="A102" s="30" t="s">
        <v>95</v>
      </c>
      <c r="B102" s="43">
        <f>IF(COUNT(Vertices[Out-Degree])&gt;0,H2,NoMetricMessage)</f>
        <v>0</v>
      </c>
    </row>
    <row r="103" spans="1:2" ht="15">
      <c r="A103" s="30" t="s">
        <v>96</v>
      </c>
      <c r="B103" s="43">
        <f>IF(COUNT(Vertices[Out-Degree])&gt;0,H36,NoMetricMessage)</f>
        <v>4</v>
      </c>
    </row>
    <row r="104" spans="1:2" ht="15">
      <c r="A104" s="30" t="s">
        <v>97</v>
      </c>
      <c r="B104" s="44">
        <f>_xlfn.IFERROR(AVERAGE(Vertices[Out-Degree]),NoMetricMessage)</f>
        <v>1.08</v>
      </c>
    </row>
    <row r="105" spans="1:2" ht="15">
      <c r="A105" s="30" t="s">
        <v>98</v>
      </c>
      <c r="B105" s="44">
        <f>_xlfn.IFERROR(MEDIAN(Vertices[Out-Degree]),NoMetricMessage)</f>
        <v>1</v>
      </c>
    </row>
    <row r="116" spans="1:2" ht="15">
      <c r="A116" s="30" t="s">
        <v>101</v>
      </c>
      <c r="B116" s="44">
        <f>IF(COUNT(Vertices[Betweenness Centrality])&gt;0,J2,NoMetricMessage)</f>
        <v>0</v>
      </c>
    </row>
    <row r="117" spans="1:2" ht="15">
      <c r="A117" s="30" t="s">
        <v>102</v>
      </c>
      <c r="B117" s="44">
        <f>IF(COUNT(Vertices[Betweenness Centrality])&gt;0,J36,NoMetricMessage)</f>
        <v>68.333333</v>
      </c>
    </row>
    <row r="118" spans="1:2" ht="15">
      <c r="A118" s="30" t="s">
        <v>103</v>
      </c>
      <c r="B118" s="44">
        <f>_xlfn.IFERROR(AVERAGE(Vertices[Betweenness Centrality]),NoMetricMessage)</f>
        <v>12.32</v>
      </c>
    </row>
    <row r="119" spans="1:2" ht="15">
      <c r="A119" s="30" t="s">
        <v>104</v>
      </c>
      <c r="B119" s="44">
        <f>_xlfn.IFERROR(MEDIAN(Vertices[Betweenness Centrality]),NoMetricMessage)</f>
        <v>0</v>
      </c>
    </row>
    <row r="130" spans="1:2" ht="15">
      <c r="A130" s="30" t="s">
        <v>107</v>
      </c>
      <c r="B130" s="44">
        <f>IF(COUNT(Vertices[Closeness Centrality])&gt;0,L2,NoMetricMessage)</f>
        <v>0.041667</v>
      </c>
    </row>
    <row r="131" spans="1:2" ht="15">
      <c r="A131" s="30" t="s">
        <v>108</v>
      </c>
      <c r="B131" s="44">
        <f>IF(COUNT(Vertices[Closeness Centrality])&gt;0,L36,NoMetricMessage)</f>
        <v>0.326667</v>
      </c>
    </row>
    <row r="132" spans="1:2" ht="15">
      <c r="A132" s="30" t="s">
        <v>109</v>
      </c>
      <c r="B132" s="44">
        <f>_xlfn.IFERROR(AVERAGE(Vertices[Closeness Centrality]),NoMetricMessage)</f>
        <v>0.16529319999999997</v>
      </c>
    </row>
    <row r="133" spans="1:2" ht="15">
      <c r="A133" s="30" t="s">
        <v>110</v>
      </c>
      <c r="B133" s="44">
        <f>_xlfn.IFERROR(MEDIAN(Vertices[Closeness Centrality]),NoMetricMessage)</f>
        <v>0.194444</v>
      </c>
    </row>
    <row r="144" spans="1:2" ht="15">
      <c r="A144" s="30" t="s">
        <v>113</v>
      </c>
      <c r="B144" s="44">
        <f>IF(COUNT(Vertices[Eigenvector Centrality])&gt;0,N2,NoMetricMessage)</f>
        <v>0</v>
      </c>
    </row>
    <row r="145" spans="1:2" ht="15">
      <c r="A145" s="30" t="s">
        <v>114</v>
      </c>
      <c r="B145" s="44">
        <f>IF(COUNT(Vertices[Eigenvector Centrality])&gt;0,N36,NoMetricMessage)</f>
        <v>0.461244</v>
      </c>
    </row>
    <row r="146" spans="1:2" ht="15">
      <c r="A146" s="30" t="s">
        <v>115</v>
      </c>
      <c r="B146" s="44">
        <f>_xlfn.IFERROR(AVERAGE(Vertices[Eigenvector Centrality]),NoMetricMessage)</f>
        <v>0.12852059999999998</v>
      </c>
    </row>
    <row r="147" spans="1:2" ht="15">
      <c r="A147" s="30" t="s">
        <v>116</v>
      </c>
      <c r="B147" s="44">
        <f>_xlfn.IFERROR(MEDIAN(Vertices[Eigenvector Centrality]),NoMetricMessage)</f>
        <v>0.065023</v>
      </c>
    </row>
    <row r="158" spans="1:2" ht="15">
      <c r="A158" s="30" t="s">
        <v>141</v>
      </c>
      <c r="B158" s="44">
        <f>IF(COUNT(Vertices[PageRank])&gt;0,P2,NoMetricMessage)</f>
        <v>0.035223</v>
      </c>
    </row>
    <row r="159" spans="1:2" ht="15">
      <c r="A159" s="30" t="s">
        <v>142</v>
      </c>
      <c r="B159" s="44">
        <f>IF(COUNT(Vertices[PageRank])&gt;0,P36,NoMetricMessage)</f>
        <v>0.048892</v>
      </c>
    </row>
    <row r="160" spans="1:2" ht="15">
      <c r="A160" s="30" t="s">
        <v>143</v>
      </c>
      <c r="B160" s="44">
        <f>_xlfn.IFERROR(AVERAGE(Vertices[PageRank]),NoMetricMessage)</f>
        <v>0.040000000000000015</v>
      </c>
    </row>
    <row r="161" spans="1:2" ht="15">
      <c r="A161" s="30" t="s">
        <v>144</v>
      </c>
      <c r="B161" s="44">
        <f>_xlfn.IFERROR(MEDIAN(Vertices[PageRank]),NoMetricMessage)</f>
        <v>0.04</v>
      </c>
    </row>
    <row r="172" spans="1:2" ht="15">
      <c r="A172" s="30" t="s">
        <v>119</v>
      </c>
      <c r="B172" s="44">
        <f>IF(COUNT(Vertices[Clustering Coefficient])&gt;0,R2,NoMetricMessage)</f>
        <v>0</v>
      </c>
    </row>
    <row r="173" spans="1:2" ht="15">
      <c r="A173" s="30" t="s">
        <v>120</v>
      </c>
      <c r="B173" s="44">
        <f>IF(COUNT(Vertices[Clustering Coefficient])&gt;0,R36,NoMetricMessage)</f>
        <v>0.5</v>
      </c>
    </row>
    <row r="174" spans="1:2" ht="15">
      <c r="A174" s="30" t="s">
        <v>121</v>
      </c>
      <c r="B174" s="44">
        <f>_xlfn.IFERROR(AVERAGE(Vertices[Clustering Coefficient]),NoMetricMessage)</f>
        <v>0.06066666666666667</v>
      </c>
    </row>
    <row r="175" spans="1:2" ht="15">
      <c r="A175" s="30" t="s">
        <v>122</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132</v>
      </c>
      <c r="C1" s="3" t="s">
        <v>7</v>
      </c>
      <c r="D1" s="3" t="s">
        <v>9</v>
      </c>
      <c r="E1" s="3" t="s">
        <v>165</v>
      </c>
      <c r="F1" s="4" t="s">
        <v>170</v>
      </c>
      <c r="G1" s="3" t="s">
        <v>14</v>
      </c>
      <c r="H1" s="3" t="s">
        <v>68</v>
      </c>
      <c r="J1" s="3" t="s">
        <v>18</v>
      </c>
      <c r="K1" s="3" t="s">
        <v>17</v>
      </c>
      <c r="M1" s="3" t="s">
        <v>22</v>
      </c>
      <c r="N1" s="3" t="s">
        <v>23</v>
      </c>
      <c r="O1" s="3" t="s">
        <v>24</v>
      </c>
      <c r="P1" s="3"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0" ht="15">
      <c r="A4" s="1" t="s">
        <v>54</v>
      </c>
      <c r="B4" s="1" t="s">
        <v>135</v>
      </c>
      <c r="C4" t="s">
        <v>54</v>
      </c>
      <c r="D4" t="s">
        <v>58</v>
      </c>
      <c r="E4" t="s">
        <v>58</v>
      </c>
      <c r="F4" s="1" t="s">
        <v>54</v>
      </c>
      <c r="G4">
        <v>0</v>
      </c>
      <c r="H4" t="s">
        <v>70</v>
      </c>
      <c r="J4" t="s">
        <v>79</v>
      </c>
    </row>
    <row r="5" spans="1:11" ht="409.5">
      <c r="A5">
        <v>1</v>
      </c>
      <c r="B5" s="1" t="s">
        <v>136</v>
      </c>
      <c r="C5" t="s">
        <v>52</v>
      </c>
      <c r="D5" t="s">
        <v>59</v>
      </c>
      <c r="E5" t="s">
        <v>59</v>
      </c>
      <c r="F5">
        <v>1</v>
      </c>
      <c r="G5">
        <v>1</v>
      </c>
      <c r="H5" t="s">
        <v>71</v>
      </c>
      <c r="J5" t="s">
        <v>173</v>
      </c>
      <c r="K5" s="7" t="s">
        <v>334</v>
      </c>
    </row>
    <row r="6" spans="1:18" ht="409.5">
      <c r="A6">
        <v>0</v>
      </c>
      <c r="B6" s="1" t="s">
        <v>137</v>
      </c>
      <c r="C6">
        <v>1</v>
      </c>
      <c r="D6" t="s">
        <v>60</v>
      </c>
      <c r="E6" t="s">
        <v>60</v>
      </c>
      <c r="F6">
        <v>0</v>
      </c>
      <c r="H6" t="s">
        <v>72</v>
      </c>
      <c r="J6" t="s">
        <v>174</v>
      </c>
      <c r="K6" s="7" t="s">
        <v>335</v>
      </c>
      <c r="R6" t="s">
        <v>130</v>
      </c>
    </row>
    <row r="7" spans="1:11" ht="409.5">
      <c r="A7">
        <v>2</v>
      </c>
      <c r="B7">
        <v>1</v>
      </c>
      <c r="C7">
        <v>0</v>
      </c>
      <c r="D7" t="s">
        <v>61</v>
      </c>
      <c r="E7" t="s">
        <v>61</v>
      </c>
      <c r="F7">
        <v>2</v>
      </c>
      <c r="H7" t="s">
        <v>73</v>
      </c>
      <c r="J7" t="s">
        <v>175</v>
      </c>
      <c r="K7" s="7" t="s">
        <v>336</v>
      </c>
    </row>
    <row r="8" spans="1:11" ht="409.5">
      <c r="A8"/>
      <c r="B8">
        <v>2</v>
      </c>
      <c r="C8">
        <v>2</v>
      </c>
      <c r="D8" t="s">
        <v>62</v>
      </c>
      <c r="E8" t="s">
        <v>62</v>
      </c>
      <c r="H8" t="s">
        <v>74</v>
      </c>
      <c r="J8" t="s">
        <v>176</v>
      </c>
      <c r="K8" s="7" t="s">
        <v>337</v>
      </c>
    </row>
    <row r="9" spans="1:11" ht="409.5">
      <c r="A9"/>
      <c r="B9">
        <v>3</v>
      </c>
      <c r="C9">
        <v>4</v>
      </c>
      <c r="D9" t="s">
        <v>63</v>
      </c>
      <c r="E9" t="s">
        <v>63</v>
      </c>
      <c r="H9" t="s">
        <v>75</v>
      </c>
      <c r="J9" t="s">
        <v>177</v>
      </c>
      <c r="K9" s="73" t="s">
        <v>338</v>
      </c>
    </row>
    <row r="10" spans="1:11" ht="15">
      <c r="A10"/>
      <c r="B10">
        <v>4</v>
      </c>
      <c r="D10" t="s">
        <v>64</v>
      </c>
      <c r="E10" t="s">
        <v>64</v>
      </c>
      <c r="H10" t="s">
        <v>76</v>
      </c>
      <c r="J10" t="s">
        <v>178</v>
      </c>
      <c r="K10" t="s">
        <v>339</v>
      </c>
    </row>
    <row r="11" spans="1:11" ht="15">
      <c r="A11"/>
      <c r="B11">
        <v>5</v>
      </c>
      <c r="D11" t="s">
        <v>47</v>
      </c>
      <c r="E11">
        <v>1</v>
      </c>
      <c r="H11" t="s">
        <v>77</v>
      </c>
      <c r="J11" t="s">
        <v>179</v>
      </c>
      <c r="K11" t="s">
        <v>340</v>
      </c>
    </row>
    <row r="12" spans="1:11" ht="15">
      <c r="A12"/>
      <c r="B12"/>
      <c r="D12" t="s">
        <v>65</v>
      </c>
      <c r="E12">
        <v>2</v>
      </c>
      <c r="H12">
        <v>0</v>
      </c>
      <c r="J12" t="s">
        <v>180</v>
      </c>
      <c r="K12" t="s">
        <v>341</v>
      </c>
    </row>
    <row r="13" spans="1:11" ht="15">
      <c r="A13"/>
      <c r="B13"/>
      <c r="D13">
        <v>1</v>
      </c>
      <c r="E13">
        <v>3</v>
      </c>
      <c r="H13">
        <v>1</v>
      </c>
      <c r="J13" t="s">
        <v>181</v>
      </c>
      <c r="K13" t="s">
        <v>342</v>
      </c>
    </row>
    <row r="14" spans="4:11" ht="15">
      <c r="D14">
        <v>2</v>
      </c>
      <c r="E14">
        <v>4</v>
      </c>
      <c r="H14">
        <v>2</v>
      </c>
      <c r="J14" t="s">
        <v>182</v>
      </c>
      <c r="K14" t="s">
        <v>343</v>
      </c>
    </row>
    <row r="15" spans="4:11" ht="15">
      <c r="D15">
        <v>3</v>
      </c>
      <c r="E15">
        <v>5</v>
      </c>
      <c r="H15">
        <v>3</v>
      </c>
      <c r="J15" t="s">
        <v>183</v>
      </c>
      <c r="K15" t="s">
        <v>344</v>
      </c>
    </row>
    <row r="16" spans="4:11" ht="15">
      <c r="D16">
        <v>4</v>
      </c>
      <c r="E16">
        <v>6</v>
      </c>
      <c r="H16">
        <v>4</v>
      </c>
      <c r="J16" t="s">
        <v>184</v>
      </c>
      <c r="K16" t="s">
        <v>345</v>
      </c>
    </row>
    <row r="17" spans="4:11" ht="409.5">
      <c r="D17">
        <v>5</v>
      </c>
      <c r="E17">
        <v>7</v>
      </c>
      <c r="H17">
        <v>5</v>
      </c>
      <c r="J17" t="s">
        <v>185</v>
      </c>
      <c r="K17" s="7" t="s">
        <v>346</v>
      </c>
    </row>
    <row r="18" spans="4:11" ht="409.5">
      <c r="D18">
        <v>6</v>
      </c>
      <c r="E18">
        <v>8</v>
      </c>
      <c r="H18">
        <v>6</v>
      </c>
      <c r="J18" t="s">
        <v>186</v>
      </c>
      <c r="K18" s="7" t="s">
        <v>347</v>
      </c>
    </row>
    <row r="19" spans="4:11" ht="409.5">
      <c r="D19">
        <v>7</v>
      </c>
      <c r="E19">
        <v>9</v>
      </c>
      <c r="H19">
        <v>7</v>
      </c>
      <c r="J19" t="s">
        <v>187</v>
      </c>
      <c r="K19" s="7" t="s">
        <v>419</v>
      </c>
    </row>
    <row r="20" spans="4:11" ht="15">
      <c r="D20">
        <v>8</v>
      </c>
      <c r="H20">
        <v>8</v>
      </c>
      <c r="J20" t="s">
        <v>188</v>
      </c>
      <c r="K20" t="s">
        <v>189</v>
      </c>
    </row>
    <row r="21" spans="4:11" ht="15">
      <c r="D21">
        <v>9</v>
      </c>
      <c r="H21">
        <v>9</v>
      </c>
      <c r="J21" t="s">
        <v>190</v>
      </c>
      <c r="K21" t="s">
        <v>191</v>
      </c>
    </row>
    <row r="22" spans="4:11" ht="15">
      <c r="D22">
        <v>10</v>
      </c>
      <c r="J22" t="s">
        <v>192</v>
      </c>
      <c r="K22" t="s">
        <v>193</v>
      </c>
    </row>
    <row r="23" spans="4:11" ht="15">
      <c r="D23">
        <v>11</v>
      </c>
      <c r="J23" t="s">
        <v>194</v>
      </c>
      <c r="K23" t="s">
        <v>195</v>
      </c>
    </row>
    <row r="24" spans="10:11" ht="15">
      <c r="J24" t="s">
        <v>196</v>
      </c>
      <c r="K24" t="s">
        <v>197</v>
      </c>
    </row>
    <row r="25" spans="10:11" ht="15">
      <c r="J25" t="s">
        <v>198</v>
      </c>
      <c r="K25" t="s">
        <v>199</v>
      </c>
    </row>
    <row r="26" spans="10:11" ht="15">
      <c r="J26" t="s">
        <v>200</v>
      </c>
      <c r="K26" t="s">
        <v>201</v>
      </c>
    </row>
    <row r="27" spans="10:11" ht="15">
      <c r="J27" t="s">
        <v>202</v>
      </c>
      <c r="K27" t="s">
        <v>203</v>
      </c>
    </row>
    <row r="28" spans="10:11" ht="15">
      <c r="J28" t="s">
        <v>204</v>
      </c>
      <c r="K28" t="s">
        <v>205</v>
      </c>
    </row>
    <row r="29" spans="10:11" ht="15">
      <c r="J29" t="s">
        <v>206</v>
      </c>
      <c r="K29" t="s">
        <v>207</v>
      </c>
    </row>
    <row r="30" spans="10:11" ht="15">
      <c r="J30" t="s">
        <v>208</v>
      </c>
      <c r="K30" t="s">
        <v>209</v>
      </c>
    </row>
    <row r="31" spans="10:11" ht="15">
      <c r="J31" t="s">
        <v>210</v>
      </c>
      <c r="K31" t="s">
        <v>211</v>
      </c>
    </row>
    <row r="32" spans="10:11" ht="15">
      <c r="J32" t="s">
        <v>212</v>
      </c>
      <c r="K32" t="s">
        <v>213</v>
      </c>
    </row>
    <row r="33" spans="10:11" ht="15">
      <c r="J33" t="s">
        <v>214</v>
      </c>
      <c r="K33" t="s">
        <v>215</v>
      </c>
    </row>
    <row r="34" spans="10:11" ht="15">
      <c r="J34" t="s">
        <v>216</v>
      </c>
      <c r="K34" t="s">
        <v>217</v>
      </c>
    </row>
    <row r="35" spans="10:11" ht="15">
      <c r="J35" t="s">
        <v>218</v>
      </c>
      <c r="K35" t="s">
        <v>219</v>
      </c>
    </row>
    <row r="36" spans="10:11" ht="15">
      <c r="J36" t="s">
        <v>220</v>
      </c>
      <c r="K36" t="s">
        <v>221</v>
      </c>
    </row>
    <row r="37" spans="10:11" ht="15">
      <c r="J37" t="s">
        <v>222</v>
      </c>
      <c r="K37" t="s">
        <v>223</v>
      </c>
    </row>
    <row r="38" spans="10:11" ht="15">
      <c r="J38" t="s">
        <v>224</v>
      </c>
      <c r="K38" t="s">
        <v>225</v>
      </c>
    </row>
    <row r="39" spans="10:11" ht="15">
      <c r="J39" t="s">
        <v>226</v>
      </c>
      <c r="K39" t="s">
        <v>227</v>
      </c>
    </row>
    <row r="40" spans="10:11" ht="15">
      <c r="J40" t="s">
        <v>228</v>
      </c>
      <c r="K40" t="s">
        <v>229</v>
      </c>
    </row>
    <row r="41" spans="10:11" ht="15">
      <c r="J41" t="s">
        <v>230</v>
      </c>
      <c r="K41" t="s">
        <v>231</v>
      </c>
    </row>
    <row r="42" spans="10:11" ht="15">
      <c r="J42" t="s">
        <v>232</v>
      </c>
      <c r="K42" t="s">
        <v>233</v>
      </c>
    </row>
    <row r="43" spans="10:11" ht="15">
      <c r="J43" t="s">
        <v>234</v>
      </c>
      <c r="K43" t="s">
        <v>235</v>
      </c>
    </row>
    <row r="44" spans="10:11" ht="15">
      <c r="J44" t="s">
        <v>236</v>
      </c>
      <c r="K44" t="s">
        <v>237</v>
      </c>
    </row>
    <row r="45" spans="10:11" ht="15">
      <c r="J45" t="s">
        <v>238</v>
      </c>
      <c r="K45" t="s">
        <v>239</v>
      </c>
    </row>
    <row r="46" spans="10:11" ht="15">
      <c r="J46" t="s">
        <v>240</v>
      </c>
      <c r="K46" t="s">
        <v>241</v>
      </c>
    </row>
    <row r="47" spans="10:11" ht="15">
      <c r="J47" t="s">
        <v>242</v>
      </c>
      <c r="K47" t="s">
        <v>243</v>
      </c>
    </row>
    <row r="48" spans="10:11" ht="15">
      <c r="J48" t="s">
        <v>244</v>
      </c>
      <c r="K48" t="s">
        <v>245</v>
      </c>
    </row>
    <row r="49" spans="10:11" ht="15">
      <c r="J49" t="s">
        <v>246</v>
      </c>
      <c r="K49" t="s">
        <v>247</v>
      </c>
    </row>
    <row r="50" spans="10:11" ht="15">
      <c r="J50" t="s">
        <v>248</v>
      </c>
      <c r="K50" t="s">
        <v>249</v>
      </c>
    </row>
    <row r="51" spans="10:11" ht="15">
      <c r="J51" t="s">
        <v>250</v>
      </c>
      <c r="K51" t="s">
        <v>251</v>
      </c>
    </row>
    <row r="52" spans="10:11" ht="15">
      <c r="J52" t="s">
        <v>252</v>
      </c>
      <c r="K52" t="s">
        <v>253</v>
      </c>
    </row>
    <row r="53" spans="10:11" ht="15">
      <c r="J53" t="s">
        <v>254</v>
      </c>
      <c r="K53" t="s">
        <v>255</v>
      </c>
    </row>
    <row r="54" spans="10:11" ht="15">
      <c r="J54" t="s">
        <v>256</v>
      </c>
      <c r="K54" t="s">
        <v>257</v>
      </c>
    </row>
    <row r="55" spans="10:11" ht="15">
      <c r="J55" t="s">
        <v>258</v>
      </c>
      <c r="K55" t="s">
        <v>259</v>
      </c>
    </row>
    <row r="56" spans="10:11" ht="15">
      <c r="J56" t="s">
        <v>260</v>
      </c>
      <c r="K56" t="s">
        <v>261</v>
      </c>
    </row>
    <row r="57" spans="10:11" ht="15">
      <c r="J57" t="s">
        <v>262</v>
      </c>
      <c r="K57" t="s">
        <v>263</v>
      </c>
    </row>
    <row r="58" spans="10:11" ht="15">
      <c r="J58" t="s">
        <v>264</v>
      </c>
      <c r="K58" t="s">
        <v>265</v>
      </c>
    </row>
    <row r="59" spans="10:11" ht="15">
      <c r="J59" t="s">
        <v>266</v>
      </c>
      <c r="K59" t="s">
        <v>267</v>
      </c>
    </row>
    <row r="60" spans="10:11" ht="15">
      <c r="J60" t="s">
        <v>268</v>
      </c>
      <c r="K60" t="s">
        <v>269</v>
      </c>
    </row>
    <row r="61" spans="10:11" ht="15">
      <c r="J61" t="s">
        <v>270</v>
      </c>
      <c r="K61" t="s">
        <v>271</v>
      </c>
    </row>
    <row r="62" spans="10:11" ht="15">
      <c r="J62" t="s">
        <v>272</v>
      </c>
      <c r="K62" t="s">
        <v>273</v>
      </c>
    </row>
    <row r="63" spans="10:11" ht="15">
      <c r="J63" t="s">
        <v>274</v>
      </c>
      <c r="K63" t="s">
        <v>275</v>
      </c>
    </row>
    <row r="64" spans="10:11" ht="15">
      <c r="J64" t="s">
        <v>276</v>
      </c>
      <c r="K64" t="s">
        <v>277</v>
      </c>
    </row>
    <row r="65" spans="10:11" ht="15">
      <c r="J65" t="s">
        <v>278</v>
      </c>
      <c r="K65" t="s">
        <v>279</v>
      </c>
    </row>
    <row r="66" spans="10:11" ht="15">
      <c r="J66" t="s">
        <v>280</v>
      </c>
      <c r="K66" t="s">
        <v>281</v>
      </c>
    </row>
    <row r="67" spans="10:11" ht="15">
      <c r="J67" t="s">
        <v>282</v>
      </c>
      <c r="K67" t="s">
        <v>283</v>
      </c>
    </row>
    <row r="68" spans="10:11" ht="15">
      <c r="J68" t="s">
        <v>284</v>
      </c>
      <c r="K68" t="s">
        <v>285</v>
      </c>
    </row>
    <row r="69" spans="10:11" ht="15">
      <c r="J69" t="s">
        <v>286</v>
      </c>
      <c r="K69" t="s">
        <v>287</v>
      </c>
    </row>
    <row r="70" spans="10:11" ht="15">
      <c r="J70" t="s">
        <v>288</v>
      </c>
      <c r="K70" t="s">
        <v>289</v>
      </c>
    </row>
    <row r="71" spans="10:11" ht="15">
      <c r="J71" t="s">
        <v>290</v>
      </c>
      <c r="K71" t="s">
        <v>291</v>
      </c>
    </row>
    <row r="72" spans="10:11" ht="15">
      <c r="J72" t="s">
        <v>292</v>
      </c>
      <c r="K72" t="s">
        <v>293</v>
      </c>
    </row>
    <row r="73" spans="10:11" ht="15">
      <c r="J73" t="s">
        <v>294</v>
      </c>
      <c r="K73" t="s">
        <v>295</v>
      </c>
    </row>
    <row r="74" spans="10:11" ht="15">
      <c r="J74" t="s">
        <v>296</v>
      </c>
      <c r="K74" t="s">
        <v>297</v>
      </c>
    </row>
    <row r="75" spans="10:11" ht="409.5">
      <c r="J75" t="s">
        <v>298</v>
      </c>
      <c r="K75" s="7" t="s">
        <v>299</v>
      </c>
    </row>
    <row r="76" spans="10:11" ht="409.5">
      <c r="J76" t="s">
        <v>300</v>
      </c>
      <c r="K76" s="7" t="s">
        <v>301</v>
      </c>
    </row>
    <row r="77" spans="10:11" ht="409.5">
      <c r="J77" t="s">
        <v>302</v>
      </c>
      <c r="K77" s="7" t="s">
        <v>303</v>
      </c>
    </row>
    <row r="78" spans="10:11" ht="409.5">
      <c r="J78" t="s">
        <v>304</v>
      </c>
      <c r="K78" s="7" t="s">
        <v>305</v>
      </c>
    </row>
    <row r="79" spans="10:11" ht="15">
      <c r="J79" t="s">
        <v>306</v>
      </c>
      <c r="K79">
        <v>15</v>
      </c>
    </row>
    <row r="80" spans="10:11" ht="15">
      <c r="J80" t="s">
        <v>367</v>
      </c>
      <c r="K80" t="s">
        <v>421</v>
      </c>
    </row>
    <row r="81" spans="10:11" ht="15">
      <c r="J81" t="s">
        <v>417</v>
      </c>
      <c r="K81" t="s">
        <v>418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E65F2-0129-490E-86C1-5D84862BCD82}">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43</v>
      </c>
    </row>
    <row r="2" spans="1:3" ht="15" customHeight="1">
      <c r="A2" s="7" t="s">
        <v>368</v>
      </c>
      <c r="B2" s="92" t="s">
        <v>369</v>
      </c>
      <c r="C2" s="62" t="s">
        <v>370</v>
      </c>
    </row>
    <row r="3" spans="1:3" ht="15">
      <c r="A3" s="91" t="s">
        <v>348</v>
      </c>
      <c r="B3" s="91" t="s">
        <v>348</v>
      </c>
      <c r="C3" s="31">
        <v>9</v>
      </c>
    </row>
    <row r="4" spans="1:3" ht="15">
      <c r="A4" s="91" t="s">
        <v>348</v>
      </c>
      <c r="B4" s="91" t="s">
        <v>349</v>
      </c>
      <c r="C4" s="31">
        <v>2</v>
      </c>
    </row>
    <row r="5" spans="1:3" ht="15">
      <c r="A5" s="91" t="s">
        <v>349</v>
      </c>
      <c r="B5" s="91" t="s">
        <v>348</v>
      </c>
      <c r="C5" s="31">
        <v>2</v>
      </c>
    </row>
    <row r="6" spans="1:3" ht="15">
      <c r="A6" s="91" t="s">
        <v>349</v>
      </c>
      <c r="B6" s="91" t="s">
        <v>349</v>
      </c>
      <c r="C6" s="31">
        <v>5</v>
      </c>
    </row>
    <row r="7" spans="1:3" ht="15">
      <c r="A7" s="91" t="s">
        <v>350</v>
      </c>
      <c r="B7" s="91" t="s">
        <v>348</v>
      </c>
      <c r="C7" s="31">
        <v>2</v>
      </c>
    </row>
    <row r="8" spans="1:3" ht="15">
      <c r="A8" s="91" t="s">
        <v>350</v>
      </c>
      <c r="B8" s="91" t="s">
        <v>350</v>
      </c>
      <c r="C8" s="31">
        <v>2</v>
      </c>
    </row>
    <row r="9" spans="1:3" ht="15">
      <c r="A9" s="91" t="s">
        <v>351</v>
      </c>
      <c r="B9" s="91" t="s">
        <v>351</v>
      </c>
      <c r="C9" s="31">
        <v>1</v>
      </c>
    </row>
    <row r="10" spans="1:3" ht="15">
      <c r="A10" s="91" t="s">
        <v>352</v>
      </c>
      <c r="B10" s="91" t="s">
        <v>352</v>
      </c>
      <c r="C10" s="31">
        <v>1</v>
      </c>
    </row>
    <row r="11" spans="1:3" ht="15">
      <c r="A11" s="91" t="s">
        <v>353</v>
      </c>
      <c r="B11" s="91" t="s">
        <v>353</v>
      </c>
      <c r="C11" s="31">
        <v>1</v>
      </c>
    </row>
    <row r="12" spans="1:3" ht="15">
      <c r="A12" s="91" t="s">
        <v>354</v>
      </c>
      <c r="B12" s="91" t="s">
        <v>354</v>
      </c>
      <c r="C12" s="31">
        <v>1</v>
      </c>
    </row>
    <row r="13" spans="1:3" ht="15">
      <c r="A13" s="91" t="s">
        <v>355</v>
      </c>
      <c r="B13" s="91" t="s">
        <v>355</v>
      </c>
      <c r="C13" s="31">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B040E-85B7-415A-B2F5-AB3F4EF43B9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390</v>
      </c>
      <c r="B1" s="7" t="s">
        <v>17</v>
      </c>
    </row>
    <row r="2" spans="1:2" ht="15">
      <c r="A2" s="87" t="s">
        <v>391</v>
      </c>
      <c r="B2" s="87"/>
    </row>
    <row r="3" spans="1:2" ht="15">
      <c r="A3" s="89" t="s">
        <v>392</v>
      </c>
      <c r="B3" s="87"/>
    </row>
    <row r="4" spans="1:2" ht="15">
      <c r="A4" s="89" t="s">
        <v>393</v>
      </c>
      <c r="B4" s="87"/>
    </row>
    <row r="5" spans="1:2" ht="15">
      <c r="A5" s="89" t="s">
        <v>394</v>
      </c>
      <c r="B5" s="87"/>
    </row>
    <row r="6" spans="1:2" ht="15">
      <c r="A6" s="89" t="s">
        <v>395</v>
      </c>
      <c r="B6" s="87"/>
    </row>
    <row r="7" spans="1:2" ht="15">
      <c r="A7" s="89" t="s">
        <v>396</v>
      </c>
      <c r="B7" s="87"/>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2024-04-19T18:48:52Z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